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EstaPasta_de_trabalho" defaultThemeVersion="124226"/>
  <mc:AlternateContent xmlns:mc="http://schemas.openxmlformats.org/markup-compatibility/2006">
    <mc:Choice Requires="x15">
      <x15ac:absPath xmlns:x15ac="http://schemas.microsoft.com/office/spreadsheetml/2010/11/ac" url="W:\Financeiro 2026\RGF\"/>
    </mc:Choice>
  </mc:AlternateContent>
  <xr:revisionPtr revIDLastSave="0" documentId="13_ncr:1_{C078CC1D-D0E7-409A-A4E8-A36477E1C54D}" xr6:coauthVersionLast="47" xr6:coauthVersionMax="47" xr10:uidLastSave="{00000000-0000-0000-0000-000000000000}"/>
  <bookViews>
    <workbookView xWindow="-120" yWindow="-120" windowWidth="29040" windowHeight="15840" tabRatio="845" activeTab="9" xr2:uid="{00000000-000D-0000-FFFF-FFFF00000000}"/>
  </bookViews>
  <sheets>
    <sheet name="Capa" sheetId="24" r:id="rId1"/>
    <sheet name="Resumo" sheetId="20" r:id="rId2"/>
    <sheet name="Comparativo" sheetId="36" r:id="rId3"/>
    <sheet name="Gasto das Atividades" sheetId="46" r:id="rId4"/>
    <sheet name="Analítico Cx." sheetId="38" r:id="rId5"/>
    <sheet name="Analítico Cp." sheetId="43" r:id="rId6"/>
    <sheet name="Prov. Pessoal" sheetId="21" r:id="rId7"/>
    <sheet name="Bens" sheetId="26" r:id="rId8"/>
    <sheet name="Comp." sheetId="44" r:id="rId9"/>
    <sheet name="Diário" sheetId="33" r:id="rId10"/>
    <sheet name="Reserva" sheetId="47" r:id="rId11"/>
    <sheet name="Lista de Pessoal" sheetId="60" state="hidden" r:id="rId12"/>
    <sheet name="Dec Dir." sheetId="49" r:id="rId13"/>
    <sheet name="Planilha1" sheetId="61" r:id="rId14"/>
    <sheet name="Plano" sheetId="41" state="hidden" r:id="rId15"/>
  </sheets>
  <definedNames>
    <definedName name="_xlnm._FilterDatabase" localSheetId="8" hidden="1">'Comp.'!$A$4:$J$422</definedName>
    <definedName name="_xlnm._FilterDatabase" localSheetId="9" hidden="1">Diário!$A$3:$S$2496</definedName>
    <definedName name="_xlnm._FilterDatabase" localSheetId="10" hidden="1">Reserva!$A$3:$L$39</definedName>
    <definedName name="Aquisição_de_Bens_Permanentes">Plano!$F$3:$F$16</definedName>
    <definedName name="_xlnm.Print_Area" localSheetId="5">'Analítico Cp.'!$A$1:$P$189</definedName>
    <definedName name="_xlnm.Print_Area" localSheetId="4">'Analítico Cx.'!$A$1:$P$193</definedName>
    <definedName name="_xlnm.Print_Area" localSheetId="0">Capa!$A$1:$A$12</definedName>
    <definedName name="_xlnm.Print_Area" localSheetId="8">'Comp.'!$A$1:$J$422</definedName>
    <definedName name="_xlnm.Print_Area" localSheetId="2">Comparativo!$A$1:$R$50</definedName>
    <definedName name="_xlnm.Print_Area" localSheetId="9">Diário!$A$1:$P$2660</definedName>
    <definedName name="_xlnm.Print_Area" localSheetId="3">'Gasto das Atividades'!$A$1:$E$47</definedName>
    <definedName name="_xlnm.Print_Area" localSheetId="11">'Lista de Pessoal'!$A$2:$K$92</definedName>
    <definedName name="_xlnm.Print_Area" localSheetId="6">'Prov. Pessoal'!$A$1:$O$36</definedName>
    <definedName name="_xlnm.Print_Area" localSheetId="10">Reserva!$A$1:$L$39</definedName>
    <definedName name="_xlnm.Print_Area" localSheetId="1">Resumo!$A$1:$O$41</definedName>
    <definedName name="área_destinada">Plano!$L$3:$L$4</definedName>
    <definedName name="Categorias">Plano!$A$2:$G$2</definedName>
    <definedName name="Contas">OFFSET(Resumo!$B$25,0,0,COUNTA(Resumo!$B$25:$B$39),1)</definedName>
    <definedName name="Gastos_com_Pessoal">Plano!$D$3:$D$32</definedName>
    <definedName name="Gastos_Gerais">Plano!$E$3:$E$116</definedName>
    <definedName name="Ocorrência">Plano!$K$3:$K$4</definedName>
    <definedName name="Receitas_Arrecadadas">Plano!$C$3:$C$5</definedName>
    <definedName name="Rendimentos_Fin.">Plano!$B$2</definedName>
    <definedName name="Repasses">Plano!$A$2</definedName>
    <definedName name="Reserva">Plano!$I$2:$I$4</definedName>
    <definedName name="_xlnm.Print_Titles" localSheetId="5">'Analítico Cp.'!$3:$4</definedName>
    <definedName name="_xlnm.Print_Titles" localSheetId="4">'Analítico Cx.'!$3:$4</definedName>
    <definedName name="_xlnm.Print_Titles" localSheetId="7">Bens!$3:$4</definedName>
    <definedName name="_xlnm.Print_Titles" localSheetId="8">'Comp.'!$3:$4</definedName>
    <definedName name="_xlnm.Print_Titles" localSheetId="9">Diário!$A:$A,Diário!$2:$3</definedName>
    <definedName name="_xlnm.Print_Titles" localSheetId="10">Reserva!$A:$A,Reserva!$2:$3</definedName>
    <definedName name="_xlnm.Print_Titles" localSheetId="1">Resumo!$3:$3</definedName>
    <definedName name="Transferência_para_Reserva_de_Recursos">Plano!$G$2:$G$2</definedName>
    <definedName name="VinculoPT">OFFSET('Gasto das Atividades'!$B$4,1,0,COUNTA('Gasto das Atividades'!$B$5:$B$36),1)</definedName>
  </definedNames>
  <calcPr calcId="191029"/>
</workbook>
</file>

<file path=xl/calcChain.xml><?xml version="1.0" encoding="utf-8"?>
<calcChain xmlns="http://schemas.openxmlformats.org/spreadsheetml/2006/main">
  <c r="I17" i="20" l="1"/>
  <c r="K2429" i="33"/>
  <c r="A2429" i="33"/>
  <c r="K2428" i="33"/>
  <c r="A2428" i="33"/>
  <c r="K2427" i="33"/>
  <c r="A2427" i="33"/>
  <c r="K2426" i="33"/>
  <c r="A2426" i="33"/>
  <c r="K2425" i="33"/>
  <c r="A2425" i="33"/>
  <c r="H27" i="47"/>
  <c r="H28" i="47"/>
  <c r="H29" i="47"/>
  <c r="H30" i="47"/>
  <c r="H31" i="47"/>
  <c r="H32" i="47"/>
  <c r="C9" i="46"/>
  <c r="C8" i="46"/>
  <c r="C7" i="46"/>
  <c r="C6" i="46"/>
  <c r="F11" i="21" l="1"/>
  <c r="K1068" i="33" l="1"/>
  <c r="A1517" i="33" l="1"/>
  <c r="A1518" i="33"/>
  <c r="H20" i="47"/>
  <c r="H21" i="47"/>
  <c r="H22" i="47"/>
  <c r="H23" i="47"/>
  <c r="H24" i="47"/>
  <c r="H25" i="47"/>
  <c r="H26" i="47"/>
  <c r="F12" i="36"/>
  <c r="G12" i="36"/>
  <c r="H12" i="36"/>
  <c r="A1775" i="33" l="1"/>
  <c r="A1776" i="33"/>
  <c r="A1777" i="33"/>
  <c r="A1778" i="33"/>
  <c r="A1779" i="33"/>
  <c r="A1780" i="33"/>
  <c r="A1781" i="33"/>
  <c r="A1782" i="33"/>
  <c r="A1783" i="33"/>
  <c r="A1784" i="33"/>
  <c r="A1785" i="33"/>
  <c r="A1786" i="33"/>
  <c r="A1787" i="33"/>
  <c r="A1788" i="33"/>
  <c r="A1789" i="33"/>
  <c r="A1790" i="33"/>
  <c r="A1791" i="33"/>
  <c r="A1792" i="33"/>
  <c r="A1793" i="33"/>
  <c r="A1794" i="33"/>
  <c r="A1795" i="33"/>
  <c r="A1796" i="33"/>
  <c r="A1797" i="33"/>
  <c r="A1798" i="33"/>
  <c r="A1799" i="33"/>
  <c r="A1800" i="33"/>
  <c r="A1801" i="33"/>
  <c r="A1802" i="33"/>
  <c r="A1803" i="33"/>
  <c r="A1804" i="33"/>
  <c r="A1805" i="33"/>
  <c r="A1806" i="33"/>
  <c r="A1807" i="33"/>
  <c r="A1808" i="33"/>
  <c r="A1809" i="33"/>
  <c r="A1810" i="33"/>
  <c r="A1811" i="33"/>
  <c r="A1812" i="33"/>
  <c r="A1813" i="33"/>
  <c r="A1814" i="33"/>
  <c r="A1815" i="33"/>
  <c r="A1816" i="33"/>
  <c r="A1817" i="33"/>
  <c r="A1818" i="33"/>
  <c r="A1819" i="33"/>
  <c r="A1820" i="33"/>
  <c r="A1821" i="33"/>
  <c r="A1822" i="33"/>
  <c r="A1823" i="33"/>
  <c r="A1824" i="33"/>
  <c r="A1825" i="33"/>
  <c r="A1826" i="33"/>
  <c r="A1827" i="33"/>
  <c r="A1828" i="33"/>
  <c r="A1829" i="33"/>
  <c r="A1830" i="33"/>
  <c r="A1831" i="33"/>
  <c r="A1832" i="33"/>
  <c r="A1833" i="33"/>
  <c r="A1834" i="33"/>
  <c r="A1835" i="33"/>
  <c r="A1836" i="33"/>
  <c r="A1837" i="33"/>
  <c r="A1838" i="33"/>
  <c r="A1839" i="33"/>
  <c r="A1840" i="33"/>
  <c r="A1841" i="33"/>
  <c r="A1842" i="33"/>
  <c r="A1843" i="33"/>
  <c r="A1844" i="33"/>
  <c r="A1845" i="33"/>
  <c r="A1846" i="33"/>
  <c r="A1847" i="33"/>
  <c r="A1848" i="33"/>
  <c r="A1849" i="33"/>
  <c r="A1850" i="33"/>
  <c r="A1851" i="33"/>
  <c r="A1852" i="33"/>
  <c r="A1853" i="33"/>
  <c r="A1854" i="33"/>
  <c r="A1855" i="33"/>
  <c r="A1856" i="33"/>
  <c r="A1857" i="33"/>
  <c r="A1858" i="33"/>
  <c r="A1859" i="33"/>
  <c r="A1860" i="33"/>
  <c r="A1861" i="33"/>
  <c r="A1862" i="33"/>
  <c r="A1863" i="33"/>
  <c r="A1864" i="33"/>
  <c r="A1865" i="33"/>
  <c r="A1866" i="33"/>
  <c r="A1867" i="33"/>
  <c r="A1868" i="33"/>
  <c r="A1869" i="33"/>
  <c r="A1870" i="33"/>
  <c r="A1871" i="33"/>
  <c r="A1872" i="33"/>
  <c r="A1873" i="33"/>
  <c r="A1874" i="33"/>
  <c r="A1875" i="33"/>
  <c r="A1876" i="33"/>
  <c r="A1877" i="33"/>
  <c r="A1878" i="33"/>
  <c r="A1879" i="33"/>
  <c r="A1880" i="33"/>
  <c r="A1881" i="33"/>
  <c r="A1882" i="33"/>
  <c r="A1883" i="33"/>
  <c r="A1884" i="33"/>
  <c r="A1885" i="33"/>
  <c r="A1886" i="33"/>
  <c r="A1887" i="33"/>
  <c r="A1888" i="33"/>
  <c r="A1889" i="33"/>
  <c r="A1890" i="33"/>
  <c r="A1891" i="33"/>
  <c r="A1892" i="33"/>
  <c r="A1893" i="33"/>
  <c r="A1894" i="33"/>
  <c r="A1895" i="33"/>
  <c r="A1896" i="33"/>
  <c r="A1897" i="33"/>
  <c r="A1898" i="33"/>
  <c r="A1899" i="33"/>
  <c r="A1900" i="33"/>
  <c r="K1776" i="33"/>
  <c r="K1777" i="33"/>
  <c r="K1778" i="33"/>
  <c r="K1779" i="33"/>
  <c r="K1780" i="33"/>
  <c r="K1781" i="33"/>
  <c r="K1782" i="33"/>
  <c r="K1783" i="33"/>
  <c r="K1784" i="33"/>
  <c r="K1785" i="33"/>
  <c r="K1786" i="33"/>
  <c r="K1787" i="33"/>
  <c r="K1788" i="33"/>
  <c r="K1789" i="33"/>
  <c r="K1790" i="33"/>
  <c r="K1791" i="33"/>
  <c r="K1792" i="33"/>
  <c r="K1793" i="33"/>
  <c r="K1794" i="33"/>
  <c r="K1795" i="33"/>
  <c r="K1796" i="33"/>
  <c r="K1797" i="33"/>
  <c r="K1798" i="33"/>
  <c r="K1799" i="33"/>
  <c r="K1800" i="33"/>
  <c r="K1801" i="33"/>
  <c r="K1802" i="33"/>
  <c r="K1803" i="33"/>
  <c r="K1804" i="33"/>
  <c r="K1805" i="33"/>
  <c r="K1806" i="33"/>
  <c r="K1807" i="33"/>
  <c r="K1808" i="33"/>
  <c r="K1809" i="33"/>
  <c r="K1810" i="33"/>
  <c r="K1811" i="33"/>
  <c r="K1812" i="33"/>
  <c r="K1813" i="33"/>
  <c r="K1814" i="33"/>
  <c r="K1815" i="33"/>
  <c r="K1816" i="33"/>
  <c r="K1817" i="33"/>
  <c r="K1818" i="33"/>
  <c r="K1819" i="33"/>
  <c r="K1820" i="33"/>
  <c r="K1821" i="33"/>
  <c r="K1822" i="33"/>
  <c r="K1823" i="33"/>
  <c r="K1824" i="33"/>
  <c r="K1825" i="33"/>
  <c r="K1826" i="33"/>
  <c r="K1827" i="33"/>
  <c r="K1828" i="33"/>
  <c r="K1829" i="33"/>
  <c r="K1830" i="33"/>
  <c r="K1831" i="33"/>
  <c r="K1832" i="33"/>
  <c r="K1833" i="33"/>
  <c r="K1834" i="33"/>
  <c r="K1835" i="33"/>
  <c r="K1836" i="33"/>
  <c r="K1837" i="33"/>
  <c r="K1838" i="33"/>
  <c r="K1839" i="33"/>
  <c r="K1840" i="33"/>
  <c r="K1841" i="33"/>
  <c r="K1842" i="33"/>
  <c r="K1843" i="33"/>
  <c r="K1844" i="33"/>
  <c r="K1845" i="33"/>
  <c r="K1846" i="33"/>
  <c r="K1847" i="33"/>
  <c r="K1848" i="33"/>
  <c r="K1849" i="33"/>
  <c r="K1850" i="33"/>
  <c r="K1851" i="33"/>
  <c r="K1852" i="33"/>
  <c r="K1853" i="33"/>
  <c r="K1854" i="33"/>
  <c r="K1855" i="33"/>
  <c r="K1856" i="33"/>
  <c r="K1857" i="33"/>
  <c r="K1858" i="33"/>
  <c r="K1859" i="33"/>
  <c r="K1860" i="33"/>
  <c r="K1861" i="33"/>
  <c r="K1862" i="33"/>
  <c r="K1863" i="33"/>
  <c r="K1864" i="33"/>
  <c r="K1865" i="33"/>
  <c r="K1866" i="33"/>
  <c r="K1867" i="33"/>
  <c r="K1868" i="33"/>
  <c r="K1869" i="33"/>
  <c r="K1870" i="33"/>
  <c r="K1871" i="33"/>
  <c r="K1872" i="33"/>
  <c r="K1873" i="33"/>
  <c r="K1874" i="33"/>
  <c r="K1875" i="33"/>
  <c r="K1876" i="33"/>
  <c r="K1877" i="33"/>
  <c r="K1878" i="33"/>
  <c r="K1879" i="33"/>
  <c r="K1880" i="33"/>
  <c r="K1881" i="33"/>
  <c r="K1882" i="33"/>
  <c r="K1883" i="33"/>
  <c r="K1884" i="33"/>
  <c r="K1885" i="33"/>
  <c r="K1886" i="33"/>
  <c r="K1887" i="33"/>
  <c r="K1888" i="33"/>
  <c r="K1889" i="33"/>
  <c r="K1890" i="33"/>
  <c r="K1891" i="33"/>
  <c r="K1892" i="33"/>
  <c r="K1893" i="33"/>
  <c r="K1894" i="33"/>
  <c r="K1895" i="33"/>
  <c r="K1896" i="33"/>
  <c r="K1897" i="33"/>
  <c r="K1898" i="33"/>
  <c r="K1899" i="33"/>
  <c r="K1900" i="33"/>
  <c r="K1417" i="33"/>
  <c r="K1418" i="33"/>
  <c r="K1419" i="33"/>
  <c r="K1420" i="33"/>
  <c r="K1421" i="33"/>
  <c r="K1422" i="33"/>
  <c r="K1423" i="33"/>
  <c r="K1424" i="33"/>
  <c r="K1425" i="33"/>
  <c r="K1426" i="33"/>
  <c r="K1427" i="33"/>
  <c r="K1428" i="33"/>
  <c r="K1429" i="33"/>
  <c r="K1430" i="33"/>
  <c r="K1431" i="33"/>
  <c r="K1432" i="33"/>
  <c r="K1433" i="33"/>
  <c r="K1434" i="33"/>
  <c r="K1435" i="33"/>
  <c r="K1436" i="33"/>
  <c r="K1438" i="33"/>
  <c r="K1439" i="33"/>
  <c r="K1440" i="33"/>
  <c r="K1441" i="33"/>
  <c r="K1442" i="33"/>
  <c r="K1443" i="33"/>
  <c r="K1444" i="33"/>
  <c r="K1445" i="33"/>
  <c r="K1446" i="33"/>
  <c r="K1447" i="33"/>
  <c r="K1448" i="33"/>
  <c r="K1449" i="33"/>
  <c r="K1450" i="33"/>
  <c r="K1451" i="33"/>
  <c r="K1452" i="33"/>
  <c r="K1453" i="33"/>
  <c r="K1454" i="33"/>
  <c r="K1455" i="33"/>
  <c r="K1456" i="33"/>
  <c r="K1457" i="33"/>
  <c r="K1458" i="33"/>
  <c r="K1459" i="33"/>
  <c r="K1460" i="33"/>
  <c r="K1462" i="33"/>
  <c r="K1463" i="33"/>
  <c r="K1464" i="33"/>
  <c r="K1465" i="33"/>
  <c r="K1466" i="33"/>
  <c r="K1467" i="33"/>
  <c r="K1468" i="33"/>
  <c r="K1469" i="33"/>
  <c r="K1470" i="33"/>
  <c r="K1471" i="33"/>
  <c r="K1472" i="33"/>
  <c r="K1473" i="33"/>
  <c r="K1474" i="33"/>
  <c r="K1475" i="33"/>
  <c r="K1476" i="33"/>
  <c r="K1477" i="33"/>
  <c r="K1478" i="33"/>
  <c r="K1479" i="33"/>
  <c r="K1480" i="33"/>
  <c r="K1481" i="33"/>
  <c r="K1482" i="33"/>
  <c r="K1483" i="33"/>
  <c r="K1484" i="33"/>
  <c r="K1485" i="33"/>
  <c r="K1486" i="33"/>
  <c r="K1487" i="33"/>
  <c r="K1488" i="33"/>
  <c r="K1489" i="33"/>
  <c r="K1490" i="33"/>
  <c r="K1491" i="33"/>
  <c r="K1492" i="33"/>
  <c r="K1493" i="33"/>
  <c r="K1494" i="33"/>
  <c r="K1495" i="33"/>
  <c r="K1496" i="33"/>
  <c r="K1497" i="33"/>
  <c r="K1498" i="33"/>
  <c r="K1499" i="33"/>
  <c r="K1500" i="33"/>
  <c r="K1501" i="33"/>
  <c r="K1502" i="33"/>
  <c r="K1503" i="33"/>
  <c r="K1504" i="33"/>
  <c r="K1505" i="33"/>
  <c r="K1506" i="33"/>
  <c r="K1507" i="33"/>
  <c r="K1508" i="33"/>
  <c r="K1509" i="33"/>
  <c r="K1510" i="33"/>
  <c r="K1511" i="33"/>
  <c r="K1512" i="33"/>
  <c r="K1513" i="33"/>
  <c r="K1514" i="33"/>
  <c r="K1515" i="33"/>
  <c r="K1516" i="33"/>
  <c r="K1518" i="33"/>
  <c r="K1519" i="33"/>
  <c r="K1520" i="33"/>
  <c r="K1521" i="33"/>
  <c r="K1522" i="33"/>
  <c r="K1523" i="33"/>
  <c r="K1524" i="33"/>
  <c r="K1525" i="33"/>
  <c r="K1526" i="33"/>
  <c r="K1527" i="33"/>
  <c r="K1528" i="33"/>
  <c r="K1529" i="33"/>
  <c r="K1530" i="33"/>
  <c r="K1531" i="33"/>
  <c r="K1532" i="33"/>
  <c r="K1533" i="33"/>
  <c r="K1534" i="33"/>
  <c r="K1535" i="33"/>
  <c r="K1536" i="33"/>
  <c r="K1537" i="33"/>
  <c r="K1538" i="33"/>
  <c r="K1539" i="33"/>
  <c r="K1540" i="33"/>
  <c r="K1541" i="33"/>
  <c r="K1542" i="33"/>
  <c r="K1543" i="33"/>
  <c r="K1544" i="33"/>
  <c r="K1545" i="33"/>
  <c r="K1546" i="33"/>
  <c r="K1547" i="33"/>
  <c r="K1548" i="33"/>
  <c r="K1549" i="33"/>
  <c r="K1550" i="33"/>
  <c r="K1551" i="33"/>
  <c r="K1552" i="33"/>
  <c r="K1553" i="33"/>
  <c r="K1554" i="33"/>
  <c r="K1555" i="33"/>
  <c r="K1556" i="33"/>
  <c r="K1557" i="33"/>
  <c r="K1558" i="33"/>
  <c r="K1559" i="33"/>
  <c r="K1560" i="33"/>
  <c r="K1561" i="33"/>
  <c r="K1562" i="33"/>
  <c r="K1563" i="33"/>
  <c r="K1564" i="33"/>
  <c r="K1565" i="33"/>
  <c r="K1566" i="33"/>
  <c r="K1567" i="33"/>
  <c r="K1568" i="33"/>
  <c r="K1569" i="33"/>
  <c r="K1570" i="33"/>
  <c r="K1571" i="33"/>
  <c r="K1572" i="33"/>
  <c r="K1573" i="33"/>
  <c r="K1574" i="33"/>
  <c r="K1575" i="33"/>
  <c r="K1576" i="33"/>
  <c r="K1577" i="33"/>
  <c r="K1578" i="33"/>
  <c r="K1579" i="33"/>
  <c r="K1580" i="33"/>
  <c r="K1581" i="33"/>
  <c r="K1582" i="33"/>
  <c r="K1583" i="33"/>
  <c r="K1584" i="33"/>
  <c r="K1585" i="33"/>
  <c r="K1586" i="33"/>
  <c r="K1587" i="33"/>
  <c r="K1588" i="33"/>
  <c r="K1589" i="33"/>
  <c r="K1590" i="33"/>
  <c r="K1591" i="33"/>
  <c r="K1592" i="33"/>
  <c r="K1593" i="33"/>
  <c r="K1594" i="33"/>
  <c r="K1595" i="33"/>
  <c r="K1596" i="33"/>
  <c r="K1597" i="33"/>
  <c r="K1598" i="33"/>
  <c r="K1599" i="33"/>
  <c r="K1600" i="33"/>
  <c r="K1601" i="33"/>
  <c r="K1602" i="33"/>
  <c r="K1603" i="33"/>
  <c r="K1604" i="33"/>
  <c r="K1605" i="33"/>
  <c r="K1606" i="33"/>
  <c r="K1607" i="33"/>
  <c r="K1608" i="33"/>
  <c r="K1609" i="33"/>
  <c r="K1610" i="33"/>
  <c r="K1611" i="33"/>
  <c r="K1612" i="33"/>
  <c r="K1613" i="33"/>
  <c r="K1614" i="33"/>
  <c r="K1615" i="33"/>
  <c r="K1616" i="33"/>
  <c r="K1617" i="33"/>
  <c r="K1618" i="33"/>
  <c r="K1619" i="33"/>
  <c r="K1620" i="33"/>
  <c r="K1621" i="33"/>
  <c r="K1622" i="33"/>
  <c r="K1623" i="33"/>
  <c r="K1624" i="33"/>
  <c r="K1625" i="33"/>
  <c r="K1626" i="33"/>
  <c r="K1627" i="33"/>
  <c r="K1628" i="33"/>
  <c r="K1629" i="33"/>
  <c r="K1630" i="33"/>
  <c r="K1631" i="33"/>
  <c r="K1632" i="33"/>
  <c r="K1633" i="33"/>
  <c r="K1634" i="33"/>
  <c r="K1635" i="33"/>
  <c r="K1636" i="33"/>
  <c r="K1637" i="33"/>
  <c r="K1638" i="33"/>
  <c r="K1639" i="33"/>
  <c r="K1640" i="33"/>
  <c r="K1641" i="33"/>
  <c r="K1642" i="33"/>
  <c r="K1643" i="33"/>
  <c r="K1644" i="33"/>
  <c r="K1645" i="33"/>
  <c r="K1646" i="33"/>
  <c r="K1647" i="33"/>
  <c r="K1648" i="33"/>
  <c r="K1649" i="33"/>
  <c r="K1650" i="33"/>
  <c r="K1651" i="33"/>
  <c r="K1652" i="33"/>
  <c r="K1653" i="33"/>
  <c r="K1654" i="33"/>
  <c r="K1655" i="33"/>
  <c r="K1656" i="33"/>
  <c r="K1657" i="33"/>
  <c r="K1658" i="33"/>
  <c r="K1659" i="33"/>
  <c r="K1660" i="33"/>
  <c r="K1661" i="33"/>
  <c r="K1662" i="33"/>
  <c r="K1663" i="33"/>
  <c r="K1664" i="33"/>
  <c r="K1665" i="33"/>
  <c r="K1666" i="33"/>
  <c r="K1667" i="33"/>
  <c r="K1668" i="33"/>
  <c r="K1669" i="33"/>
  <c r="K1670" i="33"/>
  <c r="K1671" i="33"/>
  <c r="K1672" i="33"/>
  <c r="K1673" i="33"/>
  <c r="K1674" i="33"/>
  <c r="K1675" i="33"/>
  <c r="K1676" i="33"/>
  <c r="K1677" i="33"/>
  <c r="K1678" i="33"/>
  <c r="K1679" i="33"/>
  <c r="K1680" i="33"/>
  <c r="K1681" i="33"/>
  <c r="K1682" i="33"/>
  <c r="K1683" i="33"/>
  <c r="K1684" i="33"/>
  <c r="K1685" i="33"/>
  <c r="K1686" i="33"/>
  <c r="K1687" i="33"/>
  <c r="K1688" i="33"/>
  <c r="K1689" i="33"/>
  <c r="K1690" i="33"/>
  <c r="K1691" i="33"/>
  <c r="K1692" i="33"/>
  <c r="K1693" i="33"/>
  <c r="K1694" i="33"/>
  <c r="K1695" i="33"/>
  <c r="K1696" i="33"/>
  <c r="K1697" i="33"/>
  <c r="K1698" i="33"/>
  <c r="K1699" i="33"/>
  <c r="K1700" i="33"/>
  <c r="K1701" i="33"/>
  <c r="K1702" i="33"/>
  <c r="K1703" i="33"/>
  <c r="K1704" i="33"/>
  <c r="K1705" i="33"/>
  <c r="K1706" i="33"/>
  <c r="K1707" i="33"/>
  <c r="K1708" i="33"/>
  <c r="K1709" i="33"/>
  <c r="K1710" i="33"/>
  <c r="K1711" i="33"/>
  <c r="K1712" i="33"/>
  <c r="K1713" i="33"/>
  <c r="K1714" i="33"/>
  <c r="K1715" i="33"/>
  <c r="K1716" i="33"/>
  <c r="K1717" i="33"/>
  <c r="K1718" i="33"/>
  <c r="K1719" i="33"/>
  <c r="K1720" i="33"/>
  <c r="K1721" i="33"/>
  <c r="K1722" i="33"/>
  <c r="K1723" i="33"/>
  <c r="K1724" i="33"/>
  <c r="K1725" i="33"/>
  <c r="K1726" i="33"/>
  <c r="K1727" i="33"/>
  <c r="K1728" i="33"/>
  <c r="K1729" i="33"/>
  <c r="K1730" i="33"/>
  <c r="K1731" i="33"/>
  <c r="K1732" i="33"/>
  <c r="K1733" i="33"/>
  <c r="K1734" i="33"/>
  <c r="K1735" i="33"/>
  <c r="K1736" i="33"/>
  <c r="K1737" i="33"/>
  <c r="K1738" i="33"/>
  <c r="K1739" i="33"/>
  <c r="K1740" i="33"/>
  <c r="K1741" i="33"/>
  <c r="K1742" i="33"/>
  <c r="K1743" i="33"/>
  <c r="K1744" i="33"/>
  <c r="K1745" i="33"/>
  <c r="K1746" i="33"/>
  <c r="K1747" i="33"/>
  <c r="K1748" i="33"/>
  <c r="K1749" i="33"/>
  <c r="K1750" i="33"/>
  <c r="K1751" i="33"/>
  <c r="K1752" i="33"/>
  <c r="K1753" i="33"/>
  <c r="K1754" i="33"/>
  <c r="K1755" i="33"/>
  <c r="K1756" i="33"/>
  <c r="K1757" i="33"/>
  <c r="K1758" i="33"/>
  <c r="K1759" i="33"/>
  <c r="K1760" i="33"/>
  <c r="K1761" i="33"/>
  <c r="K1762" i="33"/>
  <c r="K1763" i="33"/>
  <c r="K1764" i="33"/>
  <c r="K1765" i="33"/>
  <c r="K1766" i="33"/>
  <c r="K1767" i="33"/>
  <c r="K1768" i="33"/>
  <c r="K1769" i="33"/>
  <c r="K1770" i="33"/>
  <c r="K1771" i="33"/>
  <c r="K1772" i="33"/>
  <c r="K1773" i="33"/>
  <c r="K1774" i="33"/>
  <c r="K1775" i="33"/>
  <c r="F1069" i="33"/>
  <c r="F1064" i="33"/>
  <c r="F1044" i="33"/>
  <c r="F1045" i="33"/>
  <c r="K1213" i="33"/>
  <c r="K1214" i="33"/>
  <c r="K1215" i="33"/>
  <c r="A1213" i="33"/>
  <c r="H19" i="47"/>
  <c r="H18" i="47"/>
  <c r="H9" i="47"/>
  <c r="H10" i="47"/>
  <c r="H11" i="47"/>
  <c r="H12" i="47"/>
  <c r="H13" i="47"/>
  <c r="H14" i="47"/>
  <c r="H17" i="47"/>
  <c r="H16" i="47"/>
  <c r="H15" i="47"/>
  <c r="K934" i="33"/>
  <c r="A934" i="33"/>
  <c r="A1220" i="33"/>
  <c r="A1198" i="33"/>
  <c r="A1197" i="33"/>
  <c r="A1140" i="33"/>
  <c r="A1139" i="33"/>
  <c r="A1138" i="33"/>
  <c r="A1143" i="33"/>
  <c r="A1144" i="33"/>
  <c r="A1145" i="33"/>
  <c r="H5" i="47"/>
  <c r="H6" i="47"/>
  <c r="H7" i="47"/>
  <c r="H8" i="47"/>
  <c r="H4" i="47"/>
  <c r="A7" i="33" l="1"/>
  <c r="A8" i="33"/>
  <c r="A9" i="33"/>
  <c r="A10" i="33"/>
  <c r="A11" i="33"/>
  <c r="A12" i="33"/>
  <c r="A13" i="33"/>
  <c r="A14" i="33"/>
  <c r="A15" i="33"/>
  <c r="A16" i="33"/>
  <c r="A17" i="33"/>
  <c r="A18" i="33"/>
  <c r="A19" i="33"/>
  <c r="A20" i="33"/>
  <c r="A21" i="33"/>
  <c r="A22" i="33"/>
  <c r="A23" i="33"/>
  <c r="A24" i="33"/>
  <c r="A25" i="33"/>
  <c r="A26" i="33"/>
  <c r="A27" i="33"/>
  <c r="A28" i="33"/>
  <c r="A29" i="33"/>
  <c r="A30" i="33"/>
  <c r="A31" i="33"/>
  <c r="A32" i="33"/>
  <c r="A33" i="33"/>
  <c r="A34" i="33"/>
  <c r="A35" i="33"/>
  <c r="A36" i="33"/>
  <c r="A37" i="33"/>
  <c r="A38" i="33"/>
  <c r="A39" i="33"/>
  <c r="A40" i="33"/>
  <c r="A41" i="33"/>
  <c r="A42" i="33"/>
  <c r="A43" i="33"/>
  <c r="A44" i="33"/>
  <c r="A45" i="33"/>
  <c r="A46" i="33"/>
  <c r="A47" i="33"/>
  <c r="A48" i="33"/>
  <c r="A49" i="33"/>
  <c r="A50" i="33"/>
  <c r="A51" i="33"/>
  <c r="A52" i="33"/>
  <c r="A53" i="33"/>
  <c r="A54" i="33"/>
  <c r="A55" i="33"/>
  <c r="A56" i="33"/>
  <c r="A57" i="33"/>
  <c r="A58" i="33"/>
  <c r="A59" i="33"/>
  <c r="A60" i="33"/>
  <c r="A61" i="33"/>
  <c r="A62" i="33"/>
  <c r="A63" i="33"/>
  <c r="A64" i="33"/>
  <c r="A65" i="33"/>
  <c r="A66" i="33"/>
  <c r="A67" i="33"/>
  <c r="A68" i="33"/>
  <c r="A69" i="33"/>
  <c r="A70" i="33"/>
  <c r="A71" i="33"/>
  <c r="A72" i="33"/>
  <c r="A73" i="33"/>
  <c r="A74" i="33"/>
  <c r="A75" i="33"/>
  <c r="A76" i="33"/>
  <c r="A77" i="33"/>
  <c r="A78" i="33"/>
  <c r="A79" i="33"/>
  <c r="A80" i="33"/>
  <c r="A81" i="33"/>
  <c r="A82" i="33"/>
  <c r="A83" i="33"/>
  <c r="A84" i="33"/>
  <c r="A85" i="33"/>
  <c r="A86" i="33"/>
  <c r="A87" i="33"/>
  <c r="A88" i="33"/>
  <c r="A89" i="33"/>
  <c r="A90" i="33"/>
  <c r="A91" i="33"/>
  <c r="A92" i="33"/>
  <c r="A93" i="33"/>
  <c r="A94" i="33"/>
  <c r="A95" i="33"/>
  <c r="A96" i="33"/>
  <c r="A97" i="33"/>
  <c r="A98" i="33"/>
  <c r="A99" i="33"/>
  <c r="A100" i="33"/>
  <c r="A101" i="33"/>
  <c r="A102" i="33"/>
  <c r="A103" i="33"/>
  <c r="A104" i="33"/>
  <c r="A105" i="33"/>
  <c r="A106" i="33"/>
  <c r="A107" i="33"/>
  <c r="A108" i="33"/>
  <c r="A109" i="33"/>
  <c r="A110" i="33"/>
  <c r="A111" i="33"/>
  <c r="A112" i="33"/>
  <c r="A113" i="33"/>
  <c r="A114" i="33"/>
  <c r="A115" i="33"/>
  <c r="A116" i="33"/>
  <c r="A117" i="33"/>
  <c r="A118" i="33"/>
  <c r="A119" i="33"/>
  <c r="A120" i="33"/>
  <c r="A121" i="33"/>
  <c r="A122" i="33"/>
  <c r="A123" i="33"/>
  <c r="A124" i="33"/>
  <c r="A125" i="33"/>
  <c r="A126" i="33"/>
  <c r="A127" i="33"/>
  <c r="A128" i="33"/>
  <c r="A129" i="33"/>
  <c r="A130" i="33"/>
  <c r="A131" i="33"/>
  <c r="A132" i="33"/>
  <c r="A133" i="33"/>
  <c r="A134" i="33"/>
  <c r="A135" i="33"/>
  <c r="A136" i="33"/>
  <c r="A137" i="33"/>
  <c r="A138" i="33"/>
  <c r="A139" i="33"/>
  <c r="A140" i="33"/>
  <c r="A141" i="33"/>
  <c r="A142" i="33"/>
  <c r="A143" i="33"/>
  <c r="A144" i="33"/>
  <c r="A145" i="33"/>
  <c r="A146" i="33"/>
  <c r="A147" i="33"/>
  <c r="A148" i="33"/>
  <c r="A149" i="33"/>
  <c r="A150" i="33"/>
  <c r="A151" i="33"/>
  <c r="A152" i="33"/>
  <c r="A153" i="33"/>
  <c r="A154" i="33"/>
  <c r="A155" i="33"/>
  <c r="A156" i="33"/>
  <c r="A157" i="33"/>
  <c r="A158" i="33"/>
  <c r="A159" i="33"/>
  <c r="A160" i="33"/>
  <c r="A161" i="33"/>
  <c r="A162" i="33"/>
  <c r="A163" i="33"/>
  <c r="A164" i="33"/>
  <c r="A165" i="33"/>
  <c r="A166" i="33"/>
  <c r="A167" i="33"/>
  <c r="A168" i="33"/>
  <c r="A169" i="33"/>
  <c r="A170" i="33"/>
  <c r="A171" i="33"/>
  <c r="A172" i="33"/>
  <c r="A173" i="33"/>
  <c r="A174" i="33"/>
  <c r="A175" i="33"/>
  <c r="A176" i="33"/>
  <c r="A177" i="33"/>
  <c r="A178" i="33"/>
  <c r="A179" i="33"/>
  <c r="A180" i="33"/>
  <c r="A181" i="33"/>
  <c r="A182" i="33"/>
  <c r="A183" i="33"/>
  <c r="A184" i="33"/>
  <c r="A185" i="33"/>
  <c r="A186" i="33"/>
  <c r="A187" i="33"/>
  <c r="A188" i="33"/>
  <c r="A189" i="33"/>
  <c r="A190" i="33"/>
  <c r="A191" i="33"/>
  <c r="A192" i="33"/>
  <c r="A193" i="33"/>
  <c r="A194" i="33"/>
  <c r="A195" i="33"/>
  <c r="A196" i="33"/>
  <c r="A197" i="33"/>
  <c r="A198" i="33"/>
  <c r="A199" i="33"/>
  <c r="A200" i="33"/>
  <c r="A201" i="33"/>
  <c r="A202" i="33"/>
  <c r="A203" i="33"/>
  <c r="A204" i="33"/>
  <c r="A205" i="33"/>
  <c r="A206" i="33"/>
  <c r="A207" i="33"/>
  <c r="A208" i="33"/>
  <c r="A209" i="33"/>
  <c r="A210" i="33"/>
  <c r="A211" i="33"/>
  <c r="A212" i="33"/>
  <c r="A213" i="33"/>
  <c r="A214" i="33"/>
  <c r="A215" i="33"/>
  <c r="A216" i="33"/>
  <c r="A217" i="33"/>
  <c r="A218" i="33"/>
  <c r="A219" i="33"/>
  <c r="A220" i="33"/>
  <c r="A221" i="33"/>
  <c r="A222" i="33"/>
  <c r="A223" i="33"/>
  <c r="A224" i="33"/>
  <c r="A225" i="33"/>
  <c r="A226" i="33"/>
  <c r="A227" i="33"/>
  <c r="A228" i="33"/>
  <c r="A229" i="33"/>
  <c r="A230" i="33"/>
  <c r="A231" i="33"/>
  <c r="A232" i="33"/>
  <c r="A233" i="33"/>
  <c r="A234" i="33"/>
  <c r="A235" i="33"/>
  <c r="A236" i="33"/>
  <c r="A237" i="33"/>
  <c r="A238" i="33"/>
  <c r="A239" i="33"/>
  <c r="A240" i="33"/>
  <c r="A241" i="33"/>
  <c r="A242" i="33"/>
  <c r="A243" i="33"/>
  <c r="A244" i="33"/>
  <c r="A245" i="33"/>
  <c r="A246" i="33"/>
  <c r="A247" i="33"/>
  <c r="A248" i="33"/>
  <c r="A249" i="33"/>
  <c r="A250" i="33"/>
  <c r="A251" i="33"/>
  <c r="A252" i="33"/>
  <c r="A253" i="33"/>
  <c r="A254" i="33"/>
  <c r="A255" i="33"/>
  <c r="A256" i="33"/>
  <c r="A257" i="33"/>
  <c r="A258" i="33"/>
  <c r="A259" i="33"/>
  <c r="A260" i="33"/>
  <c r="A261" i="33"/>
  <c r="A262" i="33"/>
  <c r="A263" i="33"/>
  <c r="A264" i="33"/>
  <c r="A265" i="33"/>
  <c r="A266" i="33"/>
  <c r="A267" i="33"/>
  <c r="A268" i="33"/>
  <c r="A269" i="33"/>
  <c r="A270" i="33"/>
  <c r="A271" i="33"/>
  <c r="A272" i="33"/>
  <c r="A273" i="33"/>
  <c r="A274" i="33"/>
  <c r="A275" i="33"/>
  <c r="A276" i="33"/>
  <c r="A277" i="33"/>
  <c r="A278" i="33"/>
  <c r="A279" i="33"/>
  <c r="A280" i="33"/>
  <c r="A281" i="33"/>
  <c r="A282" i="33"/>
  <c r="A283" i="33"/>
  <c r="A284" i="33"/>
  <c r="A285" i="33"/>
  <c r="A286" i="33"/>
  <c r="A287" i="33"/>
  <c r="A288" i="33"/>
  <c r="A289" i="33"/>
  <c r="A290" i="33"/>
  <c r="A291" i="33"/>
  <c r="A292" i="33"/>
  <c r="A293" i="33"/>
  <c r="A294" i="33"/>
  <c r="A295" i="33"/>
  <c r="A296" i="33"/>
  <c r="A297" i="33"/>
  <c r="A298" i="33"/>
  <c r="A299" i="33"/>
  <c r="A300" i="33"/>
  <c r="A301" i="33"/>
  <c r="A302" i="33"/>
  <c r="A303" i="33"/>
  <c r="A304" i="33"/>
  <c r="A305" i="33"/>
  <c r="A306" i="33"/>
  <c r="A307" i="33"/>
  <c r="A308" i="33"/>
  <c r="A309" i="33"/>
  <c r="A310" i="33"/>
  <c r="A311" i="33"/>
  <c r="A312" i="33"/>
  <c r="A313" i="33"/>
  <c r="A314" i="33"/>
  <c r="A315" i="33"/>
  <c r="A316" i="33"/>
  <c r="A317" i="33"/>
  <c r="A318" i="33"/>
  <c r="A319" i="33"/>
  <c r="A320" i="33"/>
  <c r="A321" i="33"/>
  <c r="A322" i="33"/>
  <c r="A323" i="33"/>
  <c r="A324" i="33"/>
  <c r="A325" i="33"/>
  <c r="A326" i="33"/>
  <c r="A327" i="33"/>
  <c r="A328" i="33"/>
  <c r="A329" i="33"/>
  <c r="A330" i="33"/>
  <c r="A331" i="33"/>
  <c r="A332" i="33"/>
  <c r="A333" i="33"/>
  <c r="A334" i="33"/>
  <c r="A335" i="33"/>
  <c r="A336" i="33"/>
  <c r="A337" i="33"/>
  <c r="A338" i="33"/>
  <c r="A339" i="33"/>
  <c r="A340" i="33"/>
  <c r="A341" i="33"/>
  <c r="A342" i="33"/>
  <c r="A343" i="33"/>
  <c r="A344" i="33"/>
  <c r="A345" i="33"/>
  <c r="A346" i="33"/>
  <c r="A347" i="33"/>
  <c r="A348" i="33"/>
  <c r="A349" i="33"/>
  <c r="A350" i="33"/>
  <c r="A351" i="33"/>
  <c r="A352" i="33"/>
  <c r="A353" i="33"/>
  <c r="A354" i="33"/>
  <c r="A355" i="33"/>
  <c r="A356" i="33"/>
  <c r="A357" i="33"/>
  <c r="A358" i="33"/>
  <c r="A359" i="33"/>
  <c r="A360" i="33"/>
  <c r="A361" i="33"/>
  <c r="A362" i="33"/>
  <c r="A363" i="33"/>
  <c r="A364" i="33"/>
  <c r="A365" i="33"/>
  <c r="A366" i="33"/>
  <c r="A367" i="33"/>
  <c r="A368" i="33"/>
  <c r="A369" i="33"/>
  <c r="A370" i="33"/>
  <c r="A371" i="33"/>
  <c r="A372" i="33"/>
  <c r="A373" i="33"/>
  <c r="A374" i="33"/>
  <c r="A375" i="33"/>
  <c r="A376" i="33"/>
  <c r="A377" i="33"/>
  <c r="A378" i="33"/>
  <c r="A379" i="33"/>
  <c r="A380" i="33"/>
  <c r="A381" i="33"/>
  <c r="A382" i="33"/>
  <c r="A383" i="33"/>
  <c r="A384" i="33"/>
  <c r="A385" i="33"/>
  <c r="A386" i="33"/>
  <c r="A387" i="33"/>
  <c r="A388" i="33"/>
  <c r="A389" i="33"/>
  <c r="A390" i="33"/>
  <c r="A391" i="33"/>
  <c r="A392" i="33"/>
  <c r="A393" i="33"/>
  <c r="A394" i="33"/>
  <c r="A395" i="33"/>
  <c r="A396" i="33"/>
  <c r="A397" i="33"/>
  <c r="A398" i="33"/>
  <c r="A399" i="33"/>
  <c r="A400" i="33"/>
  <c r="A401" i="33"/>
  <c r="A402" i="33"/>
  <c r="A403" i="33"/>
  <c r="A404" i="33"/>
  <c r="A405" i="33"/>
  <c r="A406" i="33"/>
  <c r="A407" i="33"/>
  <c r="A408" i="33"/>
  <c r="A409" i="33"/>
  <c r="A410" i="33"/>
  <c r="A411" i="33"/>
  <c r="A412" i="33"/>
  <c r="A413" i="33"/>
  <c r="A414" i="33"/>
  <c r="A415" i="33"/>
  <c r="A416" i="33"/>
  <c r="A417" i="33"/>
  <c r="A418" i="33"/>
  <c r="A419" i="33"/>
  <c r="A420" i="33"/>
  <c r="A421" i="33"/>
  <c r="A422" i="33"/>
  <c r="A423" i="33"/>
  <c r="A424" i="33"/>
  <c r="A425" i="33"/>
  <c r="A426" i="33"/>
  <c r="A427" i="33"/>
  <c r="A428" i="33"/>
  <c r="A429" i="33"/>
  <c r="A430" i="33"/>
  <c r="A431" i="33"/>
  <c r="A432" i="33"/>
  <c r="A433" i="33"/>
  <c r="A434" i="33"/>
  <c r="A435" i="33"/>
  <c r="A436" i="33"/>
  <c r="A437" i="33"/>
  <c r="A438" i="33"/>
  <c r="A439" i="33"/>
  <c r="A440" i="33"/>
  <c r="A441" i="33"/>
  <c r="A442" i="33"/>
  <c r="A443" i="33"/>
  <c r="A444" i="33"/>
  <c r="A445" i="33"/>
  <c r="A446" i="33"/>
  <c r="A447" i="33"/>
  <c r="A448" i="33"/>
  <c r="A449" i="33"/>
  <c r="A450" i="33"/>
  <c r="A451" i="33"/>
  <c r="A452" i="33"/>
  <c r="A453" i="33"/>
  <c r="A454" i="33"/>
  <c r="A455" i="33"/>
  <c r="A456" i="33"/>
  <c r="A457" i="33"/>
  <c r="A458" i="33"/>
  <c r="A459" i="33"/>
  <c r="A460" i="33"/>
  <c r="A461" i="33"/>
  <c r="A462" i="33"/>
  <c r="A463" i="33"/>
  <c r="A464" i="33"/>
  <c r="A465" i="33"/>
  <c r="A466" i="33"/>
  <c r="A467" i="33"/>
  <c r="A468" i="33"/>
  <c r="A469" i="33"/>
  <c r="A470" i="33"/>
  <c r="A471" i="33"/>
  <c r="A472" i="33"/>
  <c r="A473" i="33"/>
  <c r="A474" i="33"/>
  <c r="A475" i="33"/>
  <c r="A476" i="33"/>
  <c r="A477" i="33"/>
  <c r="A478" i="33"/>
  <c r="A479" i="33"/>
  <c r="A480" i="33"/>
  <c r="A481" i="33"/>
  <c r="A482" i="33"/>
  <c r="A483" i="33"/>
  <c r="A484" i="33"/>
  <c r="A485" i="33"/>
  <c r="A486" i="33"/>
  <c r="A487" i="33"/>
  <c r="A488" i="33"/>
  <c r="A489" i="33"/>
  <c r="A490" i="33"/>
  <c r="A491" i="33"/>
  <c r="A492" i="33"/>
  <c r="A493" i="33"/>
  <c r="A494" i="33"/>
  <c r="A495" i="33"/>
  <c r="A496" i="33"/>
  <c r="A497" i="33"/>
  <c r="A498" i="33"/>
  <c r="A499" i="33"/>
  <c r="A500" i="33"/>
  <c r="A501" i="33"/>
  <c r="A502" i="33"/>
  <c r="A503" i="33"/>
  <c r="A504" i="33"/>
  <c r="A505" i="33"/>
  <c r="A506" i="33"/>
  <c r="A507" i="33"/>
  <c r="A508" i="33"/>
  <c r="A509" i="33"/>
  <c r="A510" i="33"/>
  <c r="A511" i="33"/>
  <c r="A512" i="33"/>
  <c r="A513" i="33"/>
  <c r="A514" i="33"/>
  <c r="A515" i="33"/>
  <c r="A516" i="33"/>
  <c r="A517" i="33"/>
  <c r="A518" i="33"/>
  <c r="A519" i="33"/>
  <c r="A520" i="33"/>
  <c r="A521" i="33"/>
  <c r="A522" i="33"/>
  <c r="A523" i="33"/>
  <c r="A524" i="33"/>
  <c r="A525" i="33"/>
  <c r="A526" i="33"/>
  <c r="A527" i="33"/>
  <c r="A528" i="33"/>
  <c r="A529" i="33"/>
  <c r="A530" i="33"/>
  <c r="A531" i="33"/>
  <c r="A532" i="33"/>
  <c r="A533" i="33"/>
  <c r="A534" i="33"/>
  <c r="A535" i="33"/>
  <c r="A536" i="33"/>
  <c r="A537" i="33"/>
  <c r="A538" i="33"/>
  <c r="A539" i="33"/>
  <c r="A540" i="33"/>
  <c r="A541" i="33"/>
  <c r="A542" i="33"/>
  <c r="A543" i="33"/>
  <c r="A544" i="33"/>
  <c r="A545" i="33"/>
  <c r="A546" i="33"/>
  <c r="A547" i="33"/>
  <c r="A548" i="33"/>
  <c r="A549" i="33"/>
  <c r="A550" i="33"/>
  <c r="A551" i="33"/>
  <c r="A552" i="33"/>
  <c r="A553" i="33"/>
  <c r="A554" i="33"/>
  <c r="A555" i="33"/>
  <c r="A556" i="33"/>
  <c r="A557" i="33"/>
  <c r="A558" i="33"/>
  <c r="A559" i="33"/>
  <c r="A560" i="33"/>
  <c r="A561" i="33"/>
  <c r="A562" i="33"/>
  <c r="A563" i="33"/>
  <c r="A564" i="33"/>
  <c r="A565" i="33"/>
  <c r="A566" i="33"/>
  <c r="A567" i="33"/>
  <c r="A568" i="33"/>
  <c r="A569" i="33"/>
  <c r="A570" i="33"/>
  <c r="A571" i="33"/>
  <c r="A572" i="33"/>
  <c r="A573" i="33"/>
  <c r="A574" i="33"/>
  <c r="A575" i="33"/>
  <c r="A576" i="33"/>
  <c r="A577" i="33"/>
  <c r="A578" i="33"/>
  <c r="A579" i="33"/>
  <c r="A580" i="33"/>
  <c r="A581" i="33"/>
  <c r="A582" i="33"/>
  <c r="A583" i="33"/>
  <c r="A584" i="33"/>
  <c r="A585" i="33"/>
  <c r="A586" i="33"/>
  <c r="A587" i="33"/>
  <c r="A588" i="33"/>
  <c r="A589" i="33"/>
  <c r="A590" i="33"/>
  <c r="A591" i="33"/>
  <c r="A592" i="33"/>
  <c r="A593" i="33"/>
  <c r="A594" i="33"/>
  <c r="A595" i="33"/>
  <c r="A596" i="33"/>
  <c r="A597" i="33"/>
  <c r="A598" i="33"/>
  <c r="A599" i="33"/>
  <c r="A600" i="33"/>
  <c r="A601" i="33"/>
  <c r="A602" i="33"/>
  <c r="A603" i="33"/>
  <c r="A604" i="33"/>
  <c r="A605" i="33"/>
  <c r="A606" i="33"/>
  <c r="A607" i="33"/>
  <c r="A608" i="33"/>
  <c r="A609" i="33"/>
  <c r="A610" i="33"/>
  <c r="A611" i="33"/>
  <c r="A612" i="33"/>
  <c r="A613" i="33"/>
  <c r="A614" i="33"/>
  <c r="A615" i="33"/>
  <c r="A616" i="33"/>
  <c r="A617" i="33"/>
  <c r="A618" i="33"/>
  <c r="A619" i="33"/>
  <c r="A620" i="33"/>
  <c r="A621" i="33"/>
  <c r="A622" i="33"/>
  <c r="A623" i="33"/>
  <c r="A624" i="33"/>
  <c r="A625" i="33"/>
  <c r="A626" i="33"/>
  <c r="A627" i="33"/>
  <c r="A628" i="33"/>
  <c r="A629" i="33"/>
  <c r="A630" i="33"/>
  <c r="A631" i="33"/>
  <c r="A632" i="33"/>
  <c r="A633" i="33"/>
  <c r="A634" i="33"/>
  <c r="A635" i="33"/>
  <c r="A636" i="33"/>
  <c r="A637" i="33"/>
  <c r="A638" i="33"/>
  <c r="A639" i="33"/>
  <c r="A640" i="33"/>
  <c r="A641" i="33"/>
  <c r="A642" i="33"/>
  <c r="A643" i="33"/>
  <c r="A644" i="33"/>
  <c r="A645" i="33"/>
  <c r="A646" i="33"/>
  <c r="A647" i="33"/>
  <c r="A648" i="33"/>
  <c r="A649" i="33"/>
  <c r="A650" i="33"/>
  <c r="A651" i="33"/>
  <c r="A652" i="33"/>
  <c r="A653" i="33"/>
  <c r="A654" i="33"/>
  <c r="A655" i="33"/>
  <c r="A656" i="33"/>
  <c r="A657" i="33"/>
  <c r="A658" i="33"/>
  <c r="A659" i="33"/>
  <c r="A660" i="33"/>
  <c r="A661" i="33"/>
  <c r="A662" i="33"/>
  <c r="A663" i="33"/>
  <c r="A664" i="33"/>
  <c r="A665" i="33"/>
  <c r="A666" i="33"/>
  <c r="A667" i="33"/>
  <c r="A668" i="33"/>
  <c r="A669" i="33"/>
  <c r="A670" i="33"/>
  <c r="A671" i="33"/>
  <c r="A672" i="33"/>
  <c r="A673" i="33"/>
  <c r="A674" i="33"/>
  <c r="A675" i="33"/>
  <c r="A676" i="33"/>
  <c r="A677" i="33"/>
  <c r="A678" i="33"/>
  <c r="A679" i="33"/>
  <c r="A680" i="33"/>
  <c r="A681" i="33"/>
  <c r="A682" i="33"/>
  <c r="A683" i="33"/>
  <c r="A684" i="33"/>
  <c r="A685" i="33"/>
  <c r="A686" i="33"/>
  <c r="A687" i="33"/>
  <c r="A688" i="33"/>
  <c r="A689" i="33"/>
  <c r="A690" i="33"/>
  <c r="A691" i="33"/>
  <c r="A692" i="33"/>
  <c r="A693" i="33"/>
  <c r="A694" i="33"/>
  <c r="A695" i="33"/>
  <c r="A696" i="33"/>
  <c r="A697" i="33"/>
  <c r="A698" i="33"/>
  <c r="A699" i="33"/>
  <c r="A700" i="33"/>
  <c r="A701" i="33"/>
  <c r="A702" i="33"/>
  <c r="A703" i="33"/>
  <c r="A704" i="33"/>
  <c r="A705" i="33"/>
  <c r="A706" i="33"/>
  <c r="A707" i="33"/>
  <c r="A708" i="33"/>
  <c r="A709" i="33"/>
  <c r="A710" i="33"/>
  <c r="A711" i="33"/>
  <c r="A712" i="33"/>
  <c r="A713" i="33"/>
  <c r="A714" i="33"/>
  <c r="A715" i="33"/>
  <c r="A716" i="33"/>
  <c r="A717" i="33"/>
  <c r="A718" i="33"/>
  <c r="A719" i="33"/>
  <c r="A720" i="33"/>
  <c r="A721" i="33"/>
  <c r="A722" i="33"/>
  <c r="A723" i="33"/>
  <c r="A724" i="33"/>
  <c r="A725" i="33"/>
  <c r="A726" i="33"/>
  <c r="A727" i="33"/>
  <c r="A728" i="33"/>
  <c r="A729" i="33"/>
  <c r="A730" i="33"/>
  <c r="A731" i="33"/>
  <c r="A732" i="33"/>
  <c r="A733" i="33"/>
  <c r="A734" i="33"/>
  <c r="A735" i="33"/>
  <c r="A736" i="33"/>
  <c r="A737" i="33"/>
  <c r="A738" i="33"/>
  <c r="A739" i="33"/>
  <c r="A740" i="33"/>
  <c r="A741" i="33"/>
  <c r="A742" i="33"/>
  <c r="A743" i="33"/>
  <c r="A744" i="33"/>
  <c r="A745" i="33"/>
  <c r="A746" i="33"/>
  <c r="A747" i="33"/>
  <c r="A748" i="33"/>
  <c r="A749" i="33"/>
  <c r="A750" i="33"/>
  <c r="A751" i="33"/>
  <c r="A752" i="33"/>
  <c r="A753" i="33"/>
  <c r="A754" i="33"/>
  <c r="A755" i="33"/>
  <c r="A756" i="33"/>
  <c r="A757" i="33"/>
  <c r="A758" i="33"/>
  <c r="A759" i="33"/>
  <c r="A760" i="33"/>
  <c r="A761" i="33"/>
  <c r="A762" i="33"/>
  <c r="A763" i="33"/>
  <c r="A764" i="33"/>
  <c r="A765" i="33"/>
  <c r="A766" i="33"/>
  <c r="A767" i="33"/>
  <c r="A768" i="33"/>
  <c r="A769" i="33"/>
  <c r="A770" i="33"/>
  <c r="A771" i="33"/>
  <c r="A772" i="33"/>
  <c r="A773" i="33"/>
  <c r="A774" i="33"/>
  <c r="A775" i="33"/>
  <c r="A776" i="33"/>
  <c r="A777" i="33"/>
  <c r="A778" i="33"/>
  <c r="A779" i="33"/>
  <c r="A780" i="33"/>
  <c r="A781" i="33"/>
  <c r="A782" i="33"/>
  <c r="A783" i="33"/>
  <c r="A784" i="33"/>
  <c r="A785" i="33"/>
  <c r="A786" i="33"/>
  <c r="A787" i="33"/>
  <c r="A788" i="33"/>
  <c r="A789" i="33"/>
  <c r="A790" i="33"/>
  <c r="A791" i="33"/>
  <c r="A792" i="33"/>
  <c r="A793" i="33"/>
  <c r="A794" i="33"/>
  <c r="A795" i="33"/>
  <c r="A796" i="33"/>
  <c r="A797" i="33"/>
  <c r="A798" i="33"/>
  <c r="A799" i="33"/>
  <c r="A800" i="33"/>
  <c r="A801" i="33"/>
  <c r="A802" i="33"/>
  <c r="A803" i="33"/>
  <c r="A804" i="33"/>
  <c r="A805" i="33"/>
  <c r="A806" i="33"/>
  <c r="A807" i="33"/>
  <c r="A808" i="33"/>
  <c r="A809" i="33"/>
  <c r="A810" i="33"/>
  <c r="A811" i="33"/>
  <c r="A812" i="33"/>
  <c r="A813" i="33"/>
  <c r="A814" i="33"/>
  <c r="A815" i="33"/>
  <c r="A816" i="33"/>
  <c r="A817" i="33"/>
  <c r="A818" i="33"/>
  <c r="A819" i="33"/>
  <c r="A820" i="33"/>
  <c r="A821" i="33"/>
  <c r="A822" i="33"/>
  <c r="A823" i="33"/>
  <c r="A824" i="33"/>
  <c r="A825" i="33"/>
  <c r="A826" i="33"/>
  <c r="A827" i="33"/>
  <c r="A828" i="33"/>
  <c r="A829" i="33"/>
  <c r="A830" i="33"/>
  <c r="A831" i="33"/>
  <c r="A832" i="33"/>
  <c r="A833" i="33"/>
  <c r="A834" i="33"/>
  <c r="A835" i="33"/>
  <c r="A836" i="33"/>
  <c r="A837" i="33"/>
  <c r="A838" i="33"/>
  <c r="A839" i="33"/>
  <c r="A840" i="33"/>
  <c r="A841" i="33"/>
  <c r="A842" i="33"/>
  <c r="A843" i="33"/>
  <c r="A844" i="33"/>
  <c r="A845" i="33"/>
  <c r="A846" i="33"/>
  <c r="A847" i="33"/>
  <c r="A848" i="33"/>
  <c r="A849" i="33"/>
  <c r="A850" i="33"/>
  <c r="A851" i="33"/>
  <c r="A852" i="33"/>
  <c r="A853" i="33"/>
  <c r="A854" i="33"/>
  <c r="A855" i="33"/>
  <c r="A856" i="33"/>
  <c r="A857" i="33"/>
  <c r="A858" i="33"/>
  <c r="A859" i="33"/>
  <c r="A860" i="33"/>
  <c r="A861" i="33"/>
  <c r="A862" i="33"/>
  <c r="A863" i="33"/>
  <c r="A864" i="33"/>
  <c r="A865" i="33"/>
  <c r="A866" i="33"/>
  <c r="A867" i="33"/>
  <c r="A868" i="33"/>
  <c r="A869" i="33"/>
  <c r="A870" i="33"/>
  <c r="A871" i="33"/>
  <c r="A872" i="33"/>
  <c r="A873" i="33"/>
  <c r="A874" i="33"/>
  <c r="A875" i="33"/>
  <c r="A876" i="33"/>
  <c r="A877" i="33"/>
  <c r="A878" i="33"/>
  <c r="A879" i="33"/>
  <c r="A880" i="33"/>
  <c r="A881" i="33"/>
  <c r="A882" i="33"/>
  <c r="A883" i="33"/>
  <c r="A884" i="33"/>
  <c r="A885" i="33"/>
  <c r="A886" i="33"/>
  <c r="A887" i="33"/>
  <c r="A888" i="33"/>
  <c r="A889" i="33"/>
  <c r="A890" i="33"/>
  <c r="A891" i="33"/>
  <c r="A892" i="33"/>
  <c r="A893" i="33"/>
  <c r="A894" i="33"/>
  <c r="A895" i="33"/>
  <c r="A896" i="33"/>
  <c r="A897" i="33"/>
  <c r="A898" i="33"/>
  <c r="A899" i="33"/>
  <c r="A900" i="33"/>
  <c r="A901" i="33"/>
  <c r="A902" i="33"/>
  <c r="A903" i="33"/>
  <c r="A904" i="33"/>
  <c r="A905" i="33"/>
  <c r="A906" i="33"/>
  <c r="A907" i="33"/>
  <c r="A908" i="33"/>
  <c r="A909" i="33"/>
  <c r="A910" i="33"/>
  <c r="A911" i="33"/>
  <c r="A912" i="33"/>
  <c r="A913" i="33"/>
  <c r="A914" i="33"/>
  <c r="A915" i="33"/>
  <c r="A916" i="33"/>
  <c r="A917" i="33"/>
  <c r="A918" i="33"/>
  <c r="A919" i="33"/>
  <c r="A920" i="33"/>
  <c r="A921" i="33"/>
  <c r="A922" i="33"/>
  <c r="A923" i="33"/>
  <c r="A924" i="33"/>
  <c r="A925" i="33"/>
  <c r="A926" i="33"/>
  <c r="A927" i="33"/>
  <c r="A928" i="33"/>
  <c r="A929" i="33"/>
  <c r="A930" i="33"/>
  <c r="A931" i="33"/>
  <c r="A932" i="33"/>
  <c r="A933" i="33"/>
  <c r="K229" i="33"/>
  <c r="K259" i="33"/>
  <c r="K134" i="33"/>
  <c r="E38" i="44"/>
  <c r="K573" i="33" l="1"/>
  <c r="K574" i="33"/>
  <c r="K575" i="33"/>
  <c r="K576" i="33"/>
  <c r="K577" i="33"/>
  <c r="K578" i="33"/>
  <c r="F32" i="20"/>
  <c r="F5" i="33" l="1"/>
  <c r="K218" i="33"/>
  <c r="K12" i="33"/>
  <c r="K13" i="33"/>
  <c r="K14" i="33"/>
  <c r="K15" i="33"/>
  <c r="K16" i="33"/>
  <c r="K17" i="33"/>
  <c r="K18" i="33"/>
  <c r="K19" i="33"/>
  <c r="K20" i="33"/>
  <c r="K21" i="33"/>
  <c r="K22" i="33"/>
  <c r="K23" i="33"/>
  <c r="K24" i="33"/>
  <c r="K6" i="33"/>
  <c r="K7" i="33"/>
  <c r="K8" i="33"/>
  <c r="E12" i="36" l="1"/>
  <c r="A5" i="33" l="1"/>
  <c r="A6" i="33"/>
  <c r="A935" i="33"/>
  <c r="A936" i="33"/>
  <c r="A937" i="33"/>
  <c r="A938" i="33"/>
  <c r="A939" i="33"/>
  <c r="A940" i="33"/>
  <c r="A941" i="33"/>
  <c r="A942" i="33"/>
  <c r="A943" i="33"/>
  <c r="A944" i="33"/>
  <c r="A945" i="33"/>
  <c r="A946" i="33"/>
  <c r="A947" i="33"/>
  <c r="A948" i="33"/>
  <c r="A949" i="33"/>
  <c r="A950" i="33"/>
  <c r="A951" i="33"/>
  <c r="A952" i="33"/>
  <c r="A953" i="33"/>
  <c r="A954" i="33"/>
  <c r="A955" i="33"/>
  <c r="A956" i="33"/>
  <c r="A957" i="33"/>
  <c r="A958" i="33"/>
  <c r="A959" i="33"/>
  <c r="A960" i="33"/>
  <c r="A961" i="33"/>
  <c r="A962" i="33"/>
  <c r="A963" i="33"/>
  <c r="A964" i="33"/>
  <c r="A965" i="33"/>
  <c r="A966" i="33"/>
  <c r="A967" i="33"/>
  <c r="A968" i="33"/>
  <c r="A969" i="33"/>
  <c r="A970" i="33"/>
  <c r="A971" i="33"/>
  <c r="A972" i="33"/>
  <c r="A973" i="33"/>
  <c r="A974" i="33"/>
  <c r="A975" i="33"/>
  <c r="A976" i="33"/>
  <c r="A977" i="33"/>
  <c r="A978" i="33"/>
  <c r="A979" i="33"/>
  <c r="A980" i="33"/>
  <c r="A981" i="33"/>
  <c r="A982" i="33"/>
  <c r="A983" i="33"/>
  <c r="A984" i="33"/>
  <c r="A985" i="33"/>
  <c r="A986" i="33"/>
  <c r="A987" i="33"/>
  <c r="A988" i="33"/>
  <c r="A989" i="33"/>
  <c r="A990" i="33"/>
  <c r="A991" i="33"/>
  <c r="A992" i="33"/>
  <c r="A993" i="33"/>
  <c r="A994" i="33"/>
  <c r="A995" i="33"/>
  <c r="A996" i="33"/>
  <c r="A997" i="33"/>
  <c r="A998" i="33"/>
  <c r="A999" i="33"/>
  <c r="A1000" i="33"/>
  <c r="A1001" i="33"/>
  <c r="A1002" i="33"/>
  <c r="A1003" i="33"/>
  <c r="A1004" i="33"/>
  <c r="A1005" i="33"/>
  <c r="A1006" i="33"/>
  <c r="A1007" i="33"/>
  <c r="A1008" i="33"/>
  <c r="A1009" i="33"/>
  <c r="A1010" i="33"/>
  <c r="A1011" i="33"/>
  <c r="A1012" i="33"/>
  <c r="A1013" i="33"/>
  <c r="A1014" i="33"/>
  <c r="A1015" i="33"/>
  <c r="A1016" i="33"/>
  <c r="A1017" i="33"/>
  <c r="A1018" i="33"/>
  <c r="A1019" i="33"/>
  <c r="A1020" i="33"/>
  <c r="A1021" i="33"/>
  <c r="A1022" i="33"/>
  <c r="A1023" i="33"/>
  <c r="A1024" i="33"/>
  <c r="A1025" i="33"/>
  <c r="A1026" i="33"/>
  <c r="A1027" i="33"/>
  <c r="A1028" i="33"/>
  <c r="A1029" i="33"/>
  <c r="A1030" i="33"/>
  <c r="A1031" i="33"/>
  <c r="A1032" i="33"/>
  <c r="A1033" i="33"/>
  <c r="A1034" i="33"/>
  <c r="A1035" i="33"/>
  <c r="A1036" i="33"/>
  <c r="A1037" i="33"/>
  <c r="A1038" i="33"/>
  <c r="A1039" i="33"/>
  <c r="A1040" i="33"/>
  <c r="A1041" i="33"/>
  <c r="A1042" i="33"/>
  <c r="A1043" i="33"/>
  <c r="A1044" i="33"/>
  <c r="A1045" i="33"/>
  <c r="A1046" i="33"/>
  <c r="A1047" i="33"/>
  <c r="A1048" i="33"/>
  <c r="A1049" i="33"/>
  <c r="A1050" i="33"/>
  <c r="A1051" i="33"/>
  <c r="A1052" i="33"/>
  <c r="A1053" i="33"/>
  <c r="A1054" i="33"/>
  <c r="A1055" i="33"/>
  <c r="A1056" i="33"/>
  <c r="A1057" i="33"/>
  <c r="A1058" i="33"/>
  <c r="A1059" i="33"/>
  <c r="A1060" i="33"/>
  <c r="A1061" i="33"/>
  <c r="A1062" i="33"/>
  <c r="A1063" i="33"/>
  <c r="A1064" i="33"/>
  <c r="A1065" i="33"/>
  <c r="A1066" i="33"/>
  <c r="A1067" i="33"/>
  <c r="A1068" i="33"/>
  <c r="A1069" i="33"/>
  <c r="A1070" i="33"/>
  <c r="A1071" i="33"/>
  <c r="A1072" i="33"/>
  <c r="A1073" i="33"/>
  <c r="A1074" i="33"/>
  <c r="A1075" i="33"/>
  <c r="A1076" i="33"/>
  <c r="A1077" i="33"/>
  <c r="A1078" i="33"/>
  <c r="A1079" i="33"/>
  <c r="A1080" i="33"/>
  <c r="A1081" i="33"/>
  <c r="A1082" i="33"/>
  <c r="A1083" i="33"/>
  <c r="A1084" i="33"/>
  <c r="A1085" i="33"/>
  <c r="A1086" i="33"/>
  <c r="A1087" i="33"/>
  <c r="A1088" i="33"/>
  <c r="A1089" i="33"/>
  <c r="A1090" i="33"/>
  <c r="A1091" i="33"/>
  <c r="A1092" i="33"/>
  <c r="A1093" i="33"/>
  <c r="A1094" i="33"/>
  <c r="A1095" i="33"/>
  <c r="A1096" i="33"/>
  <c r="A1097" i="33"/>
  <c r="A1098" i="33"/>
  <c r="A1099" i="33"/>
  <c r="A1100" i="33"/>
  <c r="A1101" i="33"/>
  <c r="A1102" i="33"/>
  <c r="A1103" i="33"/>
  <c r="A1104" i="33"/>
  <c r="A1105" i="33"/>
  <c r="A1106" i="33"/>
  <c r="A1107" i="33"/>
  <c r="A1108" i="33"/>
  <c r="A1109" i="33"/>
  <c r="A1110" i="33"/>
  <c r="A1111" i="33"/>
  <c r="A1112" i="33"/>
  <c r="A1113" i="33"/>
  <c r="A1114" i="33"/>
  <c r="A1115" i="33"/>
  <c r="A1116" i="33"/>
  <c r="A1117" i="33"/>
  <c r="A1118" i="33"/>
  <c r="A1119" i="33"/>
  <c r="A1120" i="33"/>
  <c r="A1121" i="33"/>
  <c r="A1122" i="33"/>
  <c r="A1123" i="33"/>
  <c r="A1124" i="33"/>
  <c r="A1125" i="33"/>
  <c r="A1126" i="33"/>
  <c r="A1127" i="33"/>
  <c r="A1128" i="33"/>
  <c r="A1129" i="33"/>
  <c r="A1130" i="33"/>
  <c r="A1131" i="33"/>
  <c r="A1132" i="33"/>
  <c r="A1133" i="33"/>
  <c r="A1134" i="33"/>
  <c r="A1135" i="33"/>
  <c r="A1136" i="33"/>
  <c r="A1137" i="33"/>
  <c r="A1141" i="33"/>
  <c r="A1142" i="33"/>
  <c r="A1146" i="33"/>
  <c r="A1147" i="33"/>
  <c r="A1148" i="33"/>
  <c r="A1149" i="33"/>
  <c r="A1150" i="33"/>
  <c r="A1151" i="33"/>
  <c r="A1152" i="33"/>
  <c r="A1153" i="33"/>
  <c r="A1154" i="33"/>
  <c r="A1155" i="33"/>
  <c r="A1156" i="33"/>
  <c r="A1157" i="33"/>
  <c r="A1158" i="33"/>
  <c r="A1159" i="33"/>
  <c r="A1160" i="33"/>
  <c r="A1161" i="33"/>
  <c r="A1162" i="33"/>
  <c r="A1163" i="33"/>
  <c r="A1164" i="33"/>
  <c r="A1165" i="33"/>
  <c r="A1166" i="33"/>
  <c r="A1167" i="33"/>
  <c r="A1168" i="33"/>
  <c r="A1169" i="33"/>
  <c r="A1170" i="33"/>
  <c r="A1171" i="33"/>
  <c r="A1172" i="33"/>
  <c r="A1173" i="33"/>
  <c r="A1174" i="33"/>
  <c r="A1175" i="33"/>
  <c r="A1176" i="33"/>
  <c r="A1177" i="33"/>
  <c r="A1178" i="33"/>
  <c r="A1179" i="33"/>
  <c r="A1180" i="33"/>
  <c r="A1181" i="33"/>
  <c r="A1182" i="33"/>
  <c r="A1183" i="33"/>
  <c r="A1184" i="33"/>
  <c r="A1185" i="33"/>
  <c r="A1186" i="33"/>
  <c r="A1187" i="33"/>
  <c r="A1188" i="33"/>
  <c r="A1189" i="33"/>
  <c r="A1190" i="33"/>
  <c r="A1191" i="33"/>
  <c r="A1192" i="33"/>
  <c r="A1193" i="33"/>
  <c r="A1194" i="33"/>
  <c r="A1195" i="33"/>
  <c r="A1196" i="33"/>
  <c r="A1199" i="33"/>
  <c r="A1200" i="33"/>
  <c r="A1201" i="33"/>
  <c r="A1202" i="33"/>
  <c r="A1203" i="33"/>
  <c r="A1204" i="33"/>
  <c r="A1205" i="33"/>
  <c r="A1206" i="33"/>
  <c r="A1207" i="33"/>
  <c r="A1208" i="33"/>
  <c r="A1209" i="33"/>
  <c r="A1210" i="33"/>
  <c r="A1211" i="33"/>
  <c r="A1212" i="33"/>
  <c r="A1215" i="33"/>
  <c r="A1216" i="33"/>
  <c r="A1217" i="33"/>
  <c r="A1218" i="33"/>
  <c r="A1219" i="33"/>
  <c r="A1221" i="33"/>
  <c r="A1222" i="33"/>
  <c r="A1223" i="33"/>
  <c r="A1224" i="33"/>
  <c r="A1225" i="33"/>
  <c r="A1226" i="33"/>
  <c r="A1227" i="33"/>
  <c r="A1228" i="33"/>
  <c r="A1229" i="33"/>
  <c r="A1230" i="33"/>
  <c r="A1231" i="33"/>
  <c r="A1232" i="33"/>
  <c r="A1233" i="33"/>
  <c r="A1234" i="33"/>
  <c r="A1235" i="33"/>
  <c r="A1236" i="33"/>
  <c r="A1237" i="33"/>
  <c r="A1238" i="33"/>
  <c r="A1239" i="33"/>
  <c r="A1240" i="33"/>
  <c r="A1241" i="33"/>
  <c r="A1242" i="33"/>
  <c r="A1243" i="33"/>
  <c r="A1244" i="33"/>
  <c r="A1245" i="33"/>
  <c r="A1246" i="33"/>
  <c r="A1247" i="33"/>
  <c r="A1248" i="33"/>
  <c r="A1249" i="33"/>
  <c r="A1250" i="33"/>
  <c r="A1251" i="33"/>
  <c r="A1252" i="33"/>
  <c r="A1253" i="33"/>
  <c r="A1254" i="33"/>
  <c r="A1255" i="33"/>
  <c r="A1256" i="33"/>
  <c r="A1257" i="33"/>
  <c r="A1258" i="33"/>
  <c r="A1259" i="33"/>
  <c r="A1260" i="33"/>
  <c r="A1261" i="33"/>
  <c r="A1262" i="33"/>
  <c r="A1263" i="33"/>
  <c r="A1264" i="33"/>
  <c r="A1265" i="33"/>
  <c r="A1266" i="33"/>
  <c r="A1267" i="33"/>
  <c r="A1268" i="33"/>
  <c r="A1269" i="33"/>
  <c r="A1270" i="33"/>
  <c r="A1271" i="33"/>
  <c r="A1272" i="33"/>
  <c r="A1273" i="33"/>
  <c r="A1274" i="33"/>
  <c r="A1275" i="33"/>
  <c r="A1276" i="33"/>
  <c r="A1277" i="33"/>
  <c r="A1278" i="33"/>
  <c r="A1279" i="33"/>
  <c r="A1280" i="33"/>
  <c r="A1281" i="33"/>
  <c r="A1282" i="33"/>
  <c r="A1283" i="33"/>
  <c r="A1284" i="33"/>
  <c r="A1285" i="33"/>
  <c r="A1286" i="33"/>
  <c r="A1287" i="33"/>
  <c r="A1288" i="33"/>
  <c r="A1289" i="33"/>
  <c r="A1290" i="33"/>
  <c r="A1291" i="33"/>
  <c r="A1292" i="33"/>
  <c r="A1293" i="33"/>
  <c r="A1294" i="33"/>
  <c r="A1295" i="33"/>
  <c r="A1296" i="33"/>
  <c r="A1297" i="33"/>
  <c r="A1298" i="33"/>
  <c r="A1299" i="33"/>
  <c r="A1300" i="33"/>
  <c r="A1301" i="33"/>
  <c r="A1302" i="33"/>
  <c r="A1303" i="33"/>
  <c r="A1304" i="33"/>
  <c r="A1305" i="33"/>
  <c r="A1306" i="33"/>
  <c r="A1307" i="33"/>
  <c r="A1308" i="33"/>
  <c r="A1309" i="33"/>
  <c r="A1310" i="33"/>
  <c r="A1311" i="33"/>
  <c r="A1312" i="33"/>
  <c r="A1313" i="33"/>
  <c r="A1314" i="33"/>
  <c r="A1315" i="33"/>
  <c r="A1316" i="33"/>
  <c r="A1317" i="33"/>
  <c r="A1318" i="33"/>
  <c r="A1319" i="33"/>
  <c r="A1320" i="33"/>
  <c r="A1321" i="33"/>
  <c r="A1322" i="33"/>
  <c r="A1323" i="33"/>
  <c r="A1324" i="33"/>
  <c r="A1325" i="33"/>
  <c r="A1326" i="33"/>
  <c r="A1327" i="33"/>
  <c r="A1328" i="33"/>
  <c r="A1329" i="33"/>
  <c r="A1330" i="33"/>
  <c r="A1331" i="33"/>
  <c r="A1332" i="33"/>
  <c r="A1333" i="33"/>
  <c r="A1334" i="33"/>
  <c r="A1335" i="33"/>
  <c r="A1336" i="33"/>
  <c r="A1337" i="33"/>
  <c r="A1338" i="33"/>
  <c r="A1339" i="33"/>
  <c r="A1340" i="33"/>
  <c r="A1341" i="33"/>
  <c r="A1342" i="33"/>
  <c r="A1343" i="33"/>
  <c r="A1344" i="33"/>
  <c r="A1345" i="33"/>
  <c r="A1346" i="33"/>
  <c r="A1347" i="33"/>
  <c r="A1348" i="33"/>
  <c r="A1349" i="33"/>
  <c r="A1350" i="33"/>
  <c r="A1351" i="33"/>
  <c r="A1352" i="33"/>
  <c r="A1353" i="33"/>
  <c r="A1354" i="33"/>
  <c r="A1355" i="33"/>
  <c r="A1356" i="33"/>
  <c r="A1357" i="33"/>
  <c r="A1358" i="33"/>
  <c r="A1359" i="33"/>
  <c r="A1360" i="33"/>
  <c r="A1361" i="33"/>
  <c r="A1362" i="33"/>
  <c r="A1363" i="33"/>
  <c r="A1364" i="33"/>
  <c r="A1365" i="33"/>
  <c r="A1366" i="33"/>
  <c r="A1367" i="33"/>
  <c r="A1368" i="33"/>
  <c r="A1369" i="33"/>
  <c r="A1370" i="33"/>
  <c r="A1371" i="33"/>
  <c r="A1372" i="33"/>
  <c r="A1373" i="33"/>
  <c r="A1374" i="33"/>
  <c r="A1375" i="33"/>
  <c r="A1376" i="33"/>
  <c r="A1377" i="33"/>
  <c r="A1378" i="33"/>
  <c r="A1379" i="33"/>
  <c r="A1380" i="33"/>
  <c r="A1381" i="33"/>
  <c r="A1382" i="33"/>
  <c r="A1383" i="33"/>
  <c r="A1384" i="33"/>
  <c r="A1385" i="33"/>
  <c r="A1386" i="33"/>
  <c r="A1387" i="33"/>
  <c r="A1388" i="33"/>
  <c r="A1389" i="33"/>
  <c r="A1390" i="33"/>
  <c r="A1391" i="33"/>
  <c r="A1392" i="33"/>
  <c r="A1393" i="33"/>
  <c r="A1394" i="33"/>
  <c r="A1395" i="33"/>
  <c r="A1396" i="33"/>
  <c r="A1397" i="33"/>
  <c r="A1398" i="33"/>
  <c r="A1399" i="33"/>
  <c r="A1400" i="33"/>
  <c r="A1401" i="33"/>
  <c r="A1402" i="33"/>
  <c r="A1403" i="33"/>
  <c r="A1404" i="33"/>
  <c r="A1405" i="33"/>
  <c r="A1406" i="33"/>
  <c r="A1407" i="33"/>
  <c r="A1408" i="33"/>
  <c r="A1409" i="33"/>
  <c r="A1410" i="33"/>
  <c r="A1411" i="33"/>
  <c r="A1412" i="33"/>
  <c r="A1413" i="33"/>
  <c r="A1414" i="33"/>
  <c r="A1415" i="33"/>
  <c r="A1416" i="33"/>
  <c r="A1417" i="33"/>
  <c r="A1418" i="33"/>
  <c r="A1419" i="33"/>
  <c r="A1420" i="33"/>
  <c r="A1421" i="33"/>
  <c r="A1422" i="33"/>
  <c r="A1423" i="33"/>
  <c r="A1424" i="33"/>
  <c r="A1425" i="33"/>
  <c r="A1426" i="33"/>
  <c r="A1427" i="33"/>
  <c r="A1428" i="33"/>
  <c r="A1429" i="33"/>
  <c r="A1430" i="33"/>
  <c r="A1431" i="33"/>
  <c r="A1432" i="33"/>
  <c r="A1433" i="33"/>
  <c r="A1434" i="33"/>
  <c r="A1435" i="33"/>
  <c r="A1436" i="33"/>
  <c r="A1437" i="33"/>
  <c r="A1438" i="33"/>
  <c r="A1439" i="33"/>
  <c r="A1440" i="33"/>
  <c r="A1441" i="33"/>
  <c r="A1442" i="33"/>
  <c r="A1443" i="33"/>
  <c r="A1444" i="33"/>
  <c r="A1445" i="33"/>
  <c r="A1446" i="33"/>
  <c r="A1447" i="33"/>
  <c r="A1448" i="33"/>
  <c r="A1449" i="33"/>
  <c r="A1450" i="33"/>
  <c r="A1451" i="33"/>
  <c r="A1452" i="33"/>
  <c r="A1453" i="33"/>
  <c r="A1454" i="33"/>
  <c r="A1455" i="33"/>
  <c r="A1456" i="33"/>
  <c r="A1457" i="33"/>
  <c r="A1458" i="33"/>
  <c r="A1459" i="33"/>
  <c r="A1460" i="33"/>
  <c r="A1461" i="33"/>
  <c r="A1462" i="33"/>
  <c r="A1463" i="33"/>
  <c r="A1464" i="33"/>
  <c r="A1465" i="33"/>
  <c r="A1466" i="33"/>
  <c r="A1467" i="33"/>
  <c r="A1468" i="33"/>
  <c r="A1469" i="33"/>
  <c r="A1470" i="33"/>
  <c r="A1471" i="33"/>
  <c r="A1472" i="33"/>
  <c r="A1473" i="33"/>
  <c r="A1474" i="33"/>
  <c r="A1475" i="33"/>
  <c r="A1476" i="33"/>
  <c r="A1477" i="33"/>
  <c r="A1478" i="33"/>
  <c r="A1479" i="33"/>
  <c r="A1480" i="33"/>
  <c r="A1481" i="33"/>
  <c r="A1482" i="33"/>
  <c r="A1483" i="33"/>
  <c r="A1484" i="33"/>
  <c r="A1485" i="33"/>
  <c r="A1486" i="33"/>
  <c r="A1487" i="33"/>
  <c r="A1488" i="33"/>
  <c r="A1489" i="33"/>
  <c r="A1490" i="33"/>
  <c r="A1491" i="33"/>
  <c r="A1492" i="33"/>
  <c r="A1493" i="33"/>
  <c r="A1494" i="33"/>
  <c r="A1495" i="33"/>
  <c r="A1496" i="33"/>
  <c r="A1497" i="33"/>
  <c r="A1498" i="33"/>
  <c r="A1499" i="33"/>
  <c r="A1500" i="33"/>
  <c r="A1501" i="33"/>
  <c r="A1502" i="33"/>
  <c r="A1503" i="33"/>
  <c r="A1504" i="33"/>
  <c r="A1505" i="33"/>
  <c r="A1506" i="33"/>
  <c r="A1507" i="33"/>
  <c r="A1508" i="33"/>
  <c r="A1509" i="33"/>
  <c r="A1510" i="33"/>
  <c r="A1511" i="33"/>
  <c r="A1512" i="33"/>
  <c r="A1513" i="33"/>
  <c r="A1514" i="33"/>
  <c r="A1515" i="33"/>
  <c r="A1516" i="33"/>
  <c r="A1519" i="33"/>
  <c r="A1520" i="33"/>
  <c r="A1521" i="33"/>
  <c r="A1522" i="33"/>
  <c r="A1523" i="33"/>
  <c r="A1524" i="33"/>
  <c r="A1525" i="33"/>
  <c r="A1526" i="33"/>
  <c r="A1527" i="33"/>
  <c r="A1528" i="33"/>
  <c r="A1529" i="33"/>
  <c r="A1530" i="33"/>
  <c r="A1531" i="33"/>
  <c r="A1532" i="33"/>
  <c r="A1533" i="33"/>
  <c r="A1534" i="33"/>
  <c r="A1535" i="33"/>
  <c r="A1536" i="33"/>
  <c r="A1537" i="33"/>
  <c r="A1538" i="33"/>
  <c r="A1539" i="33"/>
  <c r="A1540" i="33"/>
  <c r="A1541" i="33"/>
  <c r="A1542" i="33"/>
  <c r="A1543" i="33"/>
  <c r="A1544" i="33"/>
  <c r="A1545" i="33"/>
  <c r="A1546" i="33"/>
  <c r="A1547" i="33"/>
  <c r="A1548" i="33"/>
  <c r="A1549" i="33"/>
  <c r="A1550" i="33"/>
  <c r="A1551" i="33"/>
  <c r="A1552" i="33"/>
  <c r="A1553" i="33"/>
  <c r="A1554" i="33"/>
  <c r="A1555" i="33"/>
  <c r="A1556" i="33"/>
  <c r="A1557" i="33"/>
  <c r="A1558" i="33"/>
  <c r="A1559" i="33"/>
  <c r="A1560" i="33"/>
  <c r="A1561" i="33"/>
  <c r="A1562" i="33"/>
  <c r="A1563" i="33"/>
  <c r="A1564" i="33"/>
  <c r="A1565" i="33"/>
  <c r="A1566" i="33"/>
  <c r="A1567" i="33"/>
  <c r="A1568" i="33"/>
  <c r="A1569" i="33"/>
  <c r="A1570" i="33"/>
  <c r="A1571" i="33"/>
  <c r="A1572" i="33"/>
  <c r="A1573" i="33"/>
  <c r="A1574" i="33"/>
  <c r="A1575" i="33"/>
  <c r="A1576" i="33"/>
  <c r="A1577" i="33"/>
  <c r="A1578" i="33"/>
  <c r="A1579" i="33"/>
  <c r="A1580" i="33"/>
  <c r="A1581" i="33"/>
  <c r="A1582" i="33"/>
  <c r="A1583" i="33"/>
  <c r="A1584" i="33"/>
  <c r="A1585" i="33"/>
  <c r="A1586" i="33"/>
  <c r="A1587" i="33"/>
  <c r="A1588" i="33"/>
  <c r="A1589" i="33"/>
  <c r="A1590" i="33"/>
  <c r="A1591" i="33"/>
  <c r="A1592" i="33"/>
  <c r="A1593" i="33"/>
  <c r="A1594" i="33"/>
  <c r="A1595" i="33"/>
  <c r="A1596" i="33"/>
  <c r="A1597" i="33"/>
  <c r="A1598" i="33"/>
  <c r="A1599" i="33"/>
  <c r="A1600" i="33"/>
  <c r="A1601" i="33"/>
  <c r="A1602" i="33"/>
  <c r="A1603" i="33"/>
  <c r="A1604" i="33"/>
  <c r="A1605" i="33"/>
  <c r="A1606" i="33"/>
  <c r="A1607" i="33"/>
  <c r="A1608" i="33"/>
  <c r="A1609" i="33"/>
  <c r="A1610" i="33"/>
  <c r="A1611" i="33"/>
  <c r="A1612" i="33"/>
  <c r="A1613" i="33"/>
  <c r="A1614" i="33"/>
  <c r="A1615" i="33"/>
  <c r="A1616" i="33"/>
  <c r="A1617" i="33"/>
  <c r="A1618" i="33"/>
  <c r="A1619" i="33"/>
  <c r="A1620" i="33"/>
  <c r="A1621" i="33"/>
  <c r="A1622" i="33"/>
  <c r="A1623" i="33"/>
  <c r="A1624" i="33"/>
  <c r="A1625" i="33"/>
  <c r="A1626" i="33"/>
  <c r="A1627" i="33"/>
  <c r="A1628" i="33"/>
  <c r="A1629" i="33"/>
  <c r="A1630" i="33"/>
  <c r="A1631" i="33"/>
  <c r="A1632" i="33"/>
  <c r="A1633" i="33"/>
  <c r="A1634" i="33"/>
  <c r="A1635" i="33"/>
  <c r="A1636" i="33"/>
  <c r="A1637" i="33"/>
  <c r="A1638" i="33"/>
  <c r="A1639" i="33"/>
  <c r="A1640" i="33"/>
  <c r="A1641" i="33"/>
  <c r="A1642" i="33"/>
  <c r="A1643" i="33"/>
  <c r="A1644" i="33"/>
  <c r="A1645" i="33"/>
  <c r="A1646" i="33"/>
  <c r="A1647" i="33"/>
  <c r="A1648" i="33"/>
  <c r="A1649" i="33"/>
  <c r="A1650" i="33"/>
  <c r="A1651" i="33"/>
  <c r="A1652" i="33"/>
  <c r="A1653" i="33"/>
  <c r="A1654" i="33"/>
  <c r="A1655" i="33"/>
  <c r="A1656" i="33"/>
  <c r="A1657" i="33"/>
  <c r="A1658" i="33"/>
  <c r="A1659" i="33"/>
  <c r="A1660" i="33"/>
  <c r="A1661" i="33"/>
  <c r="A1662" i="33"/>
  <c r="A1663" i="33"/>
  <c r="A1664" i="33"/>
  <c r="A1665" i="33"/>
  <c r="A1666" i="33"/>
  <c r="A1667" i="33"/>
  <c r="A1668" i="33"/>
  <c r="A1669" i="33"/>
  <c r="A1670" i="33"/>
  <c r="A1671" i="33"/>
  <c r="A1672" i="33"/>
  <c r="A1673" i="33"/>
  <c r="A1674" i="33"/>
  <c r="A1675" i="33"/>
  <c r="A1676" i="33"/>
  <c r="A1677" i="33"/>
  <c r="A1678" i="33"/>
  <c r="A1679" i="33"/>
  <c r="A1680" i="33"/>
  <c r="A1681" i="33"/>
  <c r="A1682" i="33"/>
  <c r="A1683" i="33"/>
  <c r="A1684" i="33"/>
  <c r="A1685" i="33"/>
  <c r="A1686" i="33"/>
  <c r="A1687" i="33"/>
  <c r="A1688" i="33"/>
  <c r="A1689" i="33"/>
  <c r="A1690" i="33"/>
  <c r="A1691" i="33"/>
  <c r="A1692" i="33"/>
  <c r="A1693" i="33"/>
  <c r="A1694" i="33"/>
  <c r="A1695" i="33"/>
  <c r="A1696" i="33"/>
  <c r="A1697" i="33"/>
  <c r="A1698" i="33"/>
  <c r="A1699" i="33"/>
  <c r="A1700" i="33"/>
  <c r="A1701" i="33"/>
  <c r="A1702" i="33"/>
  <c r="A1703" i="33"/>
  <c r="A1704" i="33"/>
  <c r="A1705" i="33"/>
  <c r="A1706" i="33"/>
  <c r="A1707" i="33"/>
  <c r="A1708" i="33"/>
  <c r="A1709" i="33"/>
  <c r="A1710" i="33"/>
  <c r="A1711" i="33"/>
  <c r="A1712" i="33"/>
  <c r="A1713" i="33"/>
  <c r="A1714" i="33"/>
  <c r="A1715" i="33"/>
  <c r="A1716" i="33"/>
  <c r="A1717" i="33"/>
  <c r="A1718" i="33"/>
  <c r="A1719" i="33"/>
  <c r="A1720" i="33"/>
  <c r="A1721" i="33"/>
  <c r="A1722" i="33"/>
  <c r="A1723" i="33"/>
  <c r="A1724" i="33"/>
  <c r="A1725" i="33"/>
  <c r="A1726" i="33"/>
  <c r="A1727" i="33"/>
  <c r="A1728" i="33"/>
  <c r="A1729" i="33"/>
  <c r="A1730" i="33"/>
  <c r="A1731" i="33"/>
  <c r="A1732" i="33"/>
  <c r="A1733" i="33"/>
  <c r="A1734" i="33"/>
  <c r="A1735" i="33"/>
  <c r="A1736" i="33"/>
  <c r="A1737" i="33"/>
  <c r="A1738" i="33"/>
  <c r="A1739" i="33"/>
  <c r="A1740" i="33"/>
  <c r="A1741" i="33"/>
  <c r="A1742" i="33"/>
  <c r="A1743" i="33"/>
  <c r="A1744" i="33"/>
  <c r="A1745" i="33"/>
  <c r="A1746" i="33"/>
  <c r="A1747" i="33"/>
  <c r="A1748" i="33"/>
  <c r="A1749" i="33"/>
  <c r="A1750" i="33"/>
  <c r="A1751" i="33"/>
  <c r="A1752" i="33"/>
  <c r="A1753" i="33"/>
  <c r="A1754" i="33"/>
  <c r="A1755" i="33"/>
  <c r="A1756" i="33"/>
  <c r="A1757" i="33"/>
  <c r="A1758" i="33"/>
  <c r="A1759" i="33"/>
  <c r="A1760" i="33"/>
  <c r="A1761" i="33"/>
  <c r="A1762" i="33"/>
  <c r="A1763" i="33"/>
  <c r="A1764" i="33"/>
  <c r="A1765" i="33"/>
  <c r="A1766" i="33"/>
  <c r="A1767" i="33"/>
  <c r="A1768" i="33"/>
  <c r="A1769" i="33"/>
  <c r="A1770" i="33"/>
  <c r="A1771" i="33"/>
  <c r="A1772" i="33"/>
  <c r="A1773" i="33"/>
  <c r="A1774" i="33"/>
  <c r="K1398" i="33" l="1"/>
  <c r="K974" i="33" l="1"/>
  <c r="K863" i="33"/>
  <c r="K859" i="33"/>
  <c r="K843" i="33"/>
  <c r="K842" i="33"/>
  <c r="K1323" i="33"/>
  <c r="K1322" i="33"/>
  <c r="K1321" i="33"/>
  <c r="K1310" i="33"/>
  <c r="K1278" i="33"/>
  <c r="K1276" i="33"/>
  <c r="K1274" i="33"/>
  <c r="K1269" i="33"/>
  <c r="K1267" i="33"/>
  <c r="K1266" i="33"/>
  <c r="K1235" i="33"/>
  <c r="K1234" i="33"/>
  <c r="K1180" i="33"/>
  <c r="K1179" i="33"/>
  <c r="K1176" i="33"/>
  <c r="K1173" i="33"/>
  <c r="K1405" i="33"/>
  <c r="K470" i="33"/>
  <c r="K1383" i="33" l="1"/>
  <c r="K1389" i="33" l="1"/>
  <c r="K1333" i="33" l="1"/>
  <c r="K999" i="33" l="1"/>
  <c r="A4" i="33" l="1"/>
  <c r="K622" i="33" l="1"/>
  <c r="K617" i="33"/>
  <c r="K616" i="33"/>
  <c r="K738" i="33"/>
  <c r="K591" i="33" l="1"/>
  <c r="K793" i="33"/>
  <c r="K704" i="33"/>
  <c r="K463" i="33" l="1"/>
  <c r="K407" i="33" l="1"/>
  <c r="D12" i="36" l="1"/>
  <c r="D13" i="36" s="1"/>
  <c r="E13" i="36"/>
  <c r="C12" i="36"/>
  <c r="C13" i="36"/>
  <c r="I27" i="20" l="1"/>
  <c r="I28" i="20"/>
  <c r="I29" i="20"/>
  <c r="I30" i="20"/>
  <c r="I31" i="20"/>
  <c r="I32" i="20"/>
  <c r="I33" i="20"/>
  <c r="I34" i="20"/>
  <c r="I35" i="20"/>
  <c r="I36" i="20"/>
  <c r="I37" i="20"/>
  <c r="I38" i="20"/>
  <c r="I39" i="20"/>
  <c r="J39" i="20"/>
  <c r="J38" i="20"/>
  <c r="J37" i="20"/>
  <c r="J36" i="20"/>
  <c r="J35" i="20"/>
  <c r="J34" i="20"/>
  <c r="J33" i="20"/>
  <c r="J32" i="20"/>
  <c r="J31" i="20"/>
  <c r="J30" i="20"/>
  <c r="J29" i="20"/>
  <c r="J28" i="20"/>
  <c r="J27" i="20"/>
  <c r="J26" i="20"/>
  <c r="J25" i="20"/>
  <c r="K33" i="20" l="1"/>
  <c r="K32" i="20"/>
  <c r="K31" i="20" l="1"/>
  <c r="K29" i="20" l="1"/>
  <c r="K30" i="20"/>
  <c r="K35" i="20"/>
  <c r="F40" i="20"/>
  <c r="I14" i="20" s="1"/>
  <c r="E40" i="20"/>
  <c r="I26" i="20"/>
  <c r="I25" i="20"/>
  <c r="H40" i="20"/>
  <c r="I16" i="20" s="1"/>
  <c r="G40" i="20"/>
  <c r="I15" i="20" s="1"/>
  <c r="K34" i="20" l="1"/>
  <c r="J40" i="20"/>
  <c r="K25" i="20"/>
  <c r="K37" i="20"/>
  <c r="K27" i="20"/>
  <c r="K38" i="20"/>
  <c r="K39" i="20"/>
  <c r="K36" i="20"/>
  <c r="K28" i="20"/>
  <c r="K26" i="20"/>
  <c r="I40" i="20"/>
  <c r="K40" i="20" l="1"/>
  <c r="C4" i="20"/>
  <c r="B62" i="24"/>
  <c r="A62" i="24" s="1"/>
  <c r="B63" i="24"/>
  <c r="A63" i="24" s="1"/>
  <c r="B64" i="24"/>
  <c r="B65" i="24"/>
  <c r="B66" i="24"/>
  <c r="B67" i="24"/>
  <c r="A67" i="24" s="1"/>
  <c r="B61" i="24"/>
  <c r="A61" i="24" s="1"/>
  <c r="A58" i="24"/>
  <c r="A59" i="24"/>
  <c r="A60" i="24"/>
  <c r="A64" i="24"/>
  <c r="A65" i="24"/>
  <c r="A66" i="24"/>
  <c r="A56" i="24"/>
  <c r="A55" i="24"/>
  <c r="A54" i="24"/>
  <c r="A53" i="24"/>
  <c r="A52" i="24"/>
  <c r="A51" i="24"/>
  <c r="A50" i="24"/>
  <c r="A49" i="24"/>
  <c r="A48" i="24"/>
  <c r="A47" i="24"/>
  <c r="A46" i="24"/>
  <c r="A45" i="24"/>
  <c r="A44" i="24"/>
  <c r="A43" i="24"/>
  <c r="A42" i="24"/>
  <c r="A41" i="24"/>
  <c r="A40" i="24"/>
  <c r="A39" i="24"/>
  <c r="A38" i="24"/>
  <c r="A37" i="24"/>
  <c r="A36" i="24"/>
  <c r="A35" i="24"/>
  <c r="A34" i="24"/>
  <c r="A33" i="24"/>
  <c r="A32" i="24"/>
  <c r="A31" i="24"/>
  <c r="A30" i="24"/>
  <c r="A29" i="24"/>
  <c r="A28" i="24"/>
  <c r="A27" i="24"/>
  <c r="A26" i="24"/>
  <c r="A25" i="24"/>
  <c r="A24" i="24"/>
  <c r="A23" i="24"/>
  <c r="A22" i="24"/>
  <c r="A21" i="24"/>
  <c r="A20" i="24"/>
  <c r="A19" i="24"/>
  <c r="A18" i="24"/>
  <c r="A17" i="24"/>
  <c r="A57" i="24"/>
  <c r="K5" i="33" l="1"/>
  <c r="K9" i="33"/>
  <c r="K10" i="33"/>
  <c r="K11" i="33"/>
  <c r="K25" i="33"/>
  <c r="K26" i="33"/>
  <c r="K27" i="33"/>
  <c r="K28" i="33"/>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10" i="33"/>
  <c r="K212" i="33"/>
  <c r="K213" i="33"/>
  <c r="K215" i="33"/>
  <c r="K216" i="33"/>
  <c r="K217" i="33"/>
  <c r="K219" i="33"/>
  <c r="K220" i="33"/>
  <c r="K221" i="33"/>
  <c r="K222" i="33"/>
  <c r="K223" i="33"/>
  <c r="K224" i="33"/>
  <c r="K225" i="33"/>
  <c r="K226" i="33"/>
  <c r="K227" i="33"/>
  <c r="K228" i="33"/>
  <c r="K231" i="33"/>
  <c r="K232" i="33"/>
  <c r="K233" i="33"/>
  <c r="K234" i="33"/>
  <c r="K235" i="33"/>
  <c r="K236" i="33"/>
  <c r="K237" i="33"/>
  <c r="K238" i="33"/>
  <c r="K239" i="33"/>
  <c r="K240" i="33"/>
  <c r="K241" i="33"/>
  <c r="K243" i="33"/>
  <c r="K245" i="33"/>
  <c r="K246" i="33"/>
  <c r="K247" i="33"/>
  <c r="K248" i="33"/>
  <c r="K249" i="33"/>
  <c r="K250" i="33"/>
  <c r="K251" i="33"/>
  <c r="K252" i="33"/>
  <c r="K253" i="33"/>
  <c r="K254" i="33"/>
  <c r="K255" i="33"/>
  <c r="K256" i="33"/>
  <c r="K257" i="33"/>
  <c r="K258"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298" i="33"/>
  <c r="K299" i="33"/>
  <c r="K300" i="33"/>
  <c r="K301" i="33"/>
  <c r="K302" i="33"/>
  <c r="K303" i="33"/>
  <c r="K304" i="33"/>
  <c r="K305" i="33"/>
  <c r="K306" i="33"/>
  <c r="K307" i="33"/>
  <c r="K308" i="33"/>
  <c r="K309" i="33"/>
  <c r="K310" i="33"/>
  <c r="K311" i="33"/>
  <c r="K312" i="33"/>
  <c r="K313" i="33"/>
  <c r="K314" i="33"/>
  <c r="K315" i="33"/>
  <c r="K316" i="33"/>
  <c r="K317" i="33"/>
  <c r="K318" i="33"/>
  <c r="K319" i="33"/>
  <c r="K320" i="33"/>
  <c r="K321" i="33"/>
  <c r="K322" i="33"/>
  <c r="K324" i="33"/>
  <c r="K325" i="33"/>
  <c r="K326" i="33"/>
  <c r="K327" i="33"/>
  <c r="K328" i="33"/>
  <c r="K329" i="33"/>
  <c r="K330" i="33"/>
  <c r="K332" i="33"/>
  <c r="K334" i="33"/>
  <c r="K335" i="33"/>
  <c r="K336" i="33"/>
  <c r="K337" i="33"/>
  <c r="K338" i="33"/>
  <c r="K339" i="33"/>
  <c r="K340" i="33"/>
  <c r="K341" i="33"/>
  <c r="K342" i="33"/>
  <c r="K343" i="33"/>
  <c r="K344" i="33"/>
  <c r="K345" i="33"/>
  <c r="K346" i="33"/>
  <c r="K347" i="33"/>
  <c r="K348" i="33"/>
  <c r="K349" i="33"/>
  <c r="K350" i="33"/>
  <c r="K351" i="33"/>
  <c r="K352" i="33"/>
  <c r="K353" i="33"/>
  <c r="K354" i="33"/>
  <c r="K355" i="33"/>
  <c r="K356" i="33"/>
  <c r="K357" i="33"/>
  <c r="K358" i="33"/>
  <c r="K359" i="33"/>
  <c r="K360" i="33"/>
  <c r="K361" i="33"/>
  <c r="K362" i="33"/>
  <c r="K363" i="33"/>
  <c r="K364" i="33"/>
  <c r="K365" i="33"/>
  <c r="K366" i="33"/>
  <c r="K367" i="33"/>
  <c r="K368" i="33"/>
  <c r="K369" i="33"/>
  <c r="K370" i="33"/>
  <c r="K371" i="33"/>
  <c r="K372" i="33"/>
  <c r="K373" i="33"/>
  <c r="K374" i="33"/>
  <c r="K375" i="33"/>
  <c r="K376" i="33"/>
  <c r="K377" i="33"/>
  <c r="K378" i="33"/>
  <c r="K379" i="33"/>
  <c r="K380" i="33"/>
  <c r="K381" i="33"/>
  <c r="K382" i="33"/>
  <c r="K383" i="33"/>
  <c r="K384" i="33"/>
  <c r="K385" i="33"/>
  <c r="K386" i="33"/>
  <c r="K387" i="33"/>
  <c r="K388" i="33"/>
  <c r="K389" i="33"/>
  <c r="K390" i="33"/>
  <c r="K391" i="33"/>
  <c r="K392" i="33"/>
  <c r="K393" i="33"/>
  <c r="K394" i="33"/>
  <c r="K395" i="33"/>
  <c r="K396" i="33"/>
  <c r="K397" i="33"/>
  <c r="K398" i="33"/>
  <c r="K399" i="33"/>
  <c r="K400" i="33"/>
  <c r="K401" i="33"/>
  <c r="K402" i="33"/>
  <c r="K403" i="33"/>
  <c r="K404" i="33"/>
  <c r="K405" i="33"/>
  <c r="K406" i="33"/>
  <c r="K408" i="33"/>
  <c r="K409" i="33"/>
  <c r="K410" i="33"/>
  <c r="K411" i="33"/>
  <c r="K412" i="33"/>
  <c r="K413" i="33"/>
  <c r="K414" i="33"/>
  <c r="K415" i="33"/>
  <c r="K416" i="33"/>
  <c r="K417" i="33"/>
  <c r="K418" i="33"/>
  <c r="K419" i="33"/>
  <c r="K420" i="33"/>
  <c r="K421" i="33"/>
  <c r="K422" i="33"/>
  <c r="K423" i="33"/>
  <c r="K424" i="33"/>
  <c r="K425" i="33"/>
  <c r="K426" i="33"/>
  <c r="K427" i="33"/>
  <c r="K428" i="33"/>
  <c r="K429" i="33"/>
  <c r="K430" i="33"/>
  <c r="K431" i="33"/>
  <c r="K432" i="33"/>
  <c r="K433" i="33"/>
  <c r="K434" i="33"/>
  <c r="K435" i="33"/>
  <c r="K436" i="33"/>
  <c r="K437" i="33"/>
  <c r="K438" i="33"/>
  <c r="K439" i="33"/>
  <c r="K440" i="33"/>
  <c r="K441" i="33"/>
  <c r="K442" i="33"/>
  <c r="K443" i="33"/>
  <c r="K444" i="33"/>
  <c r="K445" i="33"/>
  <c r="K446" i="33"/>
  <c r="K447" i="33"/>
  <c r="K448" i="33"/>
  <c r="K449" i="33"/>
  <c r="K450" i="33"/>
  <c r="K451" i="33"/>
  <c r="K452" i="33"/>
  <c r="K453" i="33"/>
  <c r="K454" i="33"/>
  <c r="K455" i="33"/>
  <c r="K456" i="33"/>
  <c r="K457" i="33"/>
  <c r="K458" i="33"/>
  <c r="K459" i="33"/>
  <c r="K460" i="33"/>
  <c r="K461" i="33"/>
  <c r="K462" i="33"/>
  <c r="K464" i="33"/>
  <c r="K465" i="33"/>
  <c r="K466" i="33"/>
  <c r="K467" i="33"/>
  <c r="K468" i="33"/>
  <c r="K469" i="33"/>
  <c r="K471" i="33"/>
  <c r="K472" i="33"/>
  <c r="K473" i="33"/>
  <c r="K474" i="33"/>
  <c r="K475" i="33"/>
  <c r="K476" i="33"/>
  <c r="K477" i="33"/>
  <c r="K478" i="33"/>
  <c r="K479" i="33"/>
  <c r="K480" i="33"/>
  <c r="K481" i="33"/>
  <c r="K482" i="33"/>
  <c r="K483" i="33"/>
  <c r="K484" i="33"/>
  <c r="K485" i="33"/>
  <c r="K486" i="33"/>
  <c r="K487" i="33"/>
  <c r="K488" i="33"/>
  <c r="K489" i="33"/>
  <c r="K490" i="33"/>
  <c r="K491" i="33"/>
  <c r="K492" i="33"/>
  <c r="K493" i="33"/>
  <c r="K494" i="33"/>
  <c r="K495" i="33"/>
  <c r="K496" i="33"/>
  <c r="K497" i="33"/>
  <c r="K498" i="33"/>
  <c r="K499" i="33"/>
  <c r="K500" i="33"/>
  <c r="K501" i="33"/>
  <c r="K502" i="33"/>
  <c r="K503" i="33"/>
  <c r="K504" i="33"/>
  <c r="K505" i="33"/>
  <c r="K506" i="33"/>
  <c r="K507" i="33"/>
  <c r="K508" i="33"/>
  <c r="K509" i="33"/>
  <c r="K510" i="33"/>
  <c r="K511" i="33"/>
  <c r="K512" i="33"/>
  <c r="K513" i="33"/>
  <c r="K514" i="33"/>
  <c r="K515" i="33"/>
  <c r="K516" i="33"/>
  <c r="K517" i="33"/>
  <c r="K518" i="33"/>
  <c r="K519" i="33"/>
  <c r="K520" i="33"/>
  <c r="K521" i="33"/>
  <c r="K522" i="33"/>
  <c r="K523" i="33"/>
  <c r="K524" i="33"/>
  <c r="K525" i="33"/>
  <c r="K526" i="33"/>
  <c r="K527" i="33"/>
  <c r="K528" i="33"/>
  <c r="K529" i="33"/>
  <c r="K531" i="33"/>
  <c r="K532" i="33"/>
  <c r="K533" i="33"/>
  <c r="K534" i="33"/>
  <c r="K535" i="33"/>
  <c r="K536" i="33"/>
  <c r="K537" i="33"/>
  <c r="K538" i="33"/>
  <c r="K539" i="33"/>
  <c r="K540" i="33"/>
  <c r="K541" i="33"/>
  <c r="K542" i="33"/>
  <c r="K543" i="33"/>
  <c r="K544" i="33"/>
  <c r="K545" i="33"/>
  <c r="K546" i="33"/>
  <c r="K547" i="33"/>
  <c r="K548" i="33"/>
  <c r="K549" i="33"/>
  <c r="K550" i="33"/>
  <c r="K551" i="33"/>
  <c r="K552" i="33"/>
  <c r="K553" i="33"/>
  <c r="K554" i="33"/>
  <c r="K555" i="33"/>
  <c r="K556" i="33"/>
  <c r="K557" i="33"/>
  <c r="K558" i="33"/>
  <c r="K559" i="33"/>
  <c r="K560" i="33"/>
  <c r="K561" i="33"/>
  <c r="K562" i="33"/>
  <c r="K563" i="33"/>
  <c r="K564" i="33"/>
  <c r="K565" i="33"/>
  <c r="K566" i="33"/>
  <c r="K567" i="33"/>
  <c r="K568" i="33"/>
  <c r="K569" i="33"/>
  <c r="K570" i="33"/>
  <c r="K571" i="33"/>
  <c r="K572" i="33"/>
  <c r="K579" i="33"/>
  <c r="K580" i="33"/>
  <c r="K581" i="33"/>
  <c r="K582" i="33"/>
  <c r="K583" i="33"/>
  <c r="K584" i="33"/>
  <c r="K585" i="33"/>
  <c r="K586" i="33"/>
  <c r="K587" i="33"/>
  <c r="K588" i="33"/>
  <c r="K589" i="33"/>
  <c r="K590" i="33"/>
  <c r="K592" i="33"/>
  <c r="K593" i="33"/>
  <c r="K594" i="33"/>
  <c r="K595" i="33"/>
  <c r="K596" i="33"/>
  <c r="K597" i="33"/>
  <c r="K598" i="33"/>
  <c r="K599" i="33"/>
  <c r="K600" i="33"/>
  <c r="K601" i="33"/>
  <c r="K602" i="33"/>
  <c r="K603" i="33"/>
  <c r="K604" i="33"/>
  <c r="K605" i="33"/>
  <c r="K606" i="33"/>
  <c r="K607" i="33"/>
  <c r="K608" i="33"/>
  <c r="K609" i="33"/>
  <c r="K610" i="33"/>
  <c r="K611" i="33"/>
  <c r="K612" i="33"/>
  <c r="K613" i="33"/>
  <c r="K614" i="33"/>
  <c r="K615" i="33"/>
  <c r="K618" i="33"/>
  <c r="K619" i="33"/>
  <c r="K620" i="33"/>
  <c r="K621" i="33"/>
  <c r="K623" i="33"/>
  <c r="K624" i="33"/>
  <c r="K625" i="33"/>
  <c r="K626" i="33"/>
  <c r="K627" i="33"/>
  <c r="K628" i="33"/>
  <c r="K629" i="33"/>
  <c r="K630" i="33"/>
  <c r="K631" i="33"/>
  <c r="K632" i="33"/>
  <c r="K633" i="33"/>
  <c r="K634" i="33"/>
  <c r="K635" i="33"/>
  <c r="K636" i="33"/>
  <c r="K637" i="33"/>
  <c r="K638" i="33"/>
  <c r="K639" i="33"/>
  <c r="K640" i="33"/>
  <c r="K641" i="33"/>
  <c r="K642" i="33"/>
  <c r="K643" i="33"/>
  <c r="K644" i="33"/>
  <c r="K645" i="33"/>
  <c r="K646" i="33"/>
  <c r="K647" i="33"/>
  <c r="K648" i="33"/>
  <c r="K649" i="33"/>
  <c r="K650" i="33"/>
  <c r="K651" i="33"/>
  <c r="K652" i="33"/>
  <c r="K653" i="33"/>
  <c r="K654" i="33"/>
  <c r="K655" i="33"/>
  <c r="K656" i="33"/>
  <c r="K657" i="33"/>
  <c r="K658" i="33"/>
  <c r="K659" i="33"/>
  <c r="K660" i="33"/>
  <c r="K661" i="33"/>
  <c r="K662" i="33"/>
  <c r="K663" i="33"/>
  <c r="K664" i="33"/>
  <c r="K665" i="33"/>
  <c r="K666" i="33"/>
  <c r="K667" i="33"/>
  <c r="K668" i="33"/>
  <c r="K669" i="33"/>
  <c r="K670" i="33"/>
  <c r="K671" i="33"/>
  <c r="K672" i="33"/>
  <c r="K673" i="33"/>
  <c r="K674" i="33"/>
  <c r="K675" i="33"/>
  <c r="K676" i="33"/>
  <c r="K677" i="33"/>
  <c r="K678" i="33"/>
  <c r="K679" i="33"/>
  <c r="K680" i="33"/>
  <c r="K681" i="33"/>
  <c r="K682" i="33"/>
  <c r="K683" i="33"/>
  <c r="K684" i="33"/>
  <c r="K685" i="33"/>
  <c r="K686" i="33"/>
  <c r="K687" i="33"/>
  <c r="K688" i="33"/>
  <c r="K689" i="33"/>
  <c r="K690" i="33"/>
  <c r="K691" i="33"/>
  <c r="K692" i="33"/>
  <c r="K693" i="33"/>
  <c r="K694" i="33"/>
  <c r="K695" i="33"/>
  <c r="K696" i="33"/>
  <c r="K697" i="33"/>
  <c r="K698" i="33"/>
  <c r="K699" i="33"/>
  <c r="K700" i="33"/>
  <c r="K701" i="33"/>
  <c r="K702" i="33"/>
  <c r="K703" i="33"/>
  <c r="K705" i="33"/>
  <c r="K706" i="33"/>
  <c r="K707" i="33"/>
  <c r="K708" i="33"/>
  <c r="K709" i="33"/>
  <c r="K710" i="33"/>
  <c r="K711" i="33"/>
  <c r="K712" i="33"/>
  <c r="K713" i="33"/>
  <c r="K714" i="33"/>
  <c r="K715" i="33"/>
  <c r="K716" i="33"/>
  <c r="K717" i="33"/>
  <c r="K718" i="33"/>
  <c r="K719" i="33"/>
  <c r="K720" i="33"/>
  <c r="K721" i="33"/>
  <c r="K722" i="33"/>
  <c r="K723" i="33"/>
  <c r="K724" i="33"/>
  <c r="K725" i="33"/>
  <c r="K726" i="33"/>
  <c r="K727" i="33"/>
  <c r="K728" i="33"/>
  <c r="K729" i="33"/>
  <c r="K730" i="33"/>
  <c r="K731" i="33"/>
  <c r="K732" i="33"/>
  <c r="K733" i="33"/>
  <c r="K734" i="33"/>
  <c r="K735" i="33"/>
  <c r="K736" i="33"/>
  <c r="K737" i="33"/>
  <c r="K739" i="33"/>
  <c r="K740" i="33"/>
  <c r="K741" i="33"/>
  <c r="K742" i="33"/>
  <c r="K743" i="33"/>
  <c r="K744" i="33"/>
  <c r="K745" i="33"/>
  <c r="K746" i="33"/>
  <c r="K747" i="33"/>
  <c r="K748" i="33"/>
  <c r="K749" i="33"/>
  <c r="K750" i="33"/>
  <c r="K751" i="33"/>
  <c r="K752" i="33"/>
  <c r="K753" i="33"/>
  <c r="K754" i="33"/>
  <c r="K755" i="33"/>
  <c r="K756" i="33"/>
  <c r="K757" i="33"/>
  <c r="K758" i="33"/>
  <c r="K759" i="33"/>
  <c r="K760" i="33"/>
  <c r="K761" i="33"/>
  <c r="K762" i="33"/>
  <c r="K763" i="33"/>
  <c r="K764" i="33"/>
  <c r="K765" i="33"/>
  <c r="K766" i="33"/>
  <c r="K767" i="33"/>
  <c r="K768" i="33"/>
  <c r="K769" i="33"/>
  <c r="K770" i="33"/>
  <c r="K771" i="33"/>
  <c r="K772" i="33"/>
  <c r="K773" i="33"/>
  <c r="K774" i="33"/>
  <c r="K775" i="33"/>
  <c r="K776" i="33"/>
  <c r="K777" i="33"/>
  <c r="K778" i="33"/>
  <c r="K779" i="33"/>
  <c r="K780" i="33"/>
  <c r="K781" i="33"/>
  <c r="K782" i="33"/>
  <c r="K783" i="33"/>
  <c r="K784" i="33"/>
  <c r="K785" i="33"/>
  <c r="K786" i="33"/>
  <c r="K787" i="33"/>
  <c r="K788" i="33"/>
  <c r="K789" i="33"/>
  <c r="K790" i="33"/>
  <c r="K791" i="33"/>
  <c r="K792" i="33"/>
  <c r="K794" i="33"/>
  <c r="K795" i="33"/>
  <c r="K796" i="33"/>
  <c r="K797" i="33"/>
  <c r="K798" i="33"/>
  <c r="K799" i="33"/>
  <c r="K800" i="33"/>
  <c r="K801" i="33"/>
  <c r="K802" i="33"/>
  <c r="K803" i="33"/>
  <c r="K804" i="33"/>
  <c r="K805" i="33"/>
  <c r="K806" i="33"/>
  <c r="K807" i="33"/>
  <c r="K808" i="33"/>
  <c r="K809" i="33"/>
  <c r="K810" i="33"/>
  <c r="K813" i="33"/>
  <c r="K815" i="33"/>
  <c r="K816" i="33"/>
  <c r="K817" i="33"/>
  <c r="K818" i="33"/>
  <c r="K819" i="33"/>
  <c r="K820" i="33"/>
  <c r="K821" i="33"/>
  <c r="K822" i="33"/>
  <c r="K823" i="33"/>
  <c r="K824" i="33"/>
  <c r="K825" i="33"/>
  <c r="K826" i="33"/>
  <c r="K827" i="33"/>
  <c r="K828" i="33"/>
  <c r="K829" i="33"/>
  <c r="K830" i="33"/>
  <c r="K831" i="33"/>
  <c r="K832" i="33"/>
  <c r="K834" i="33"/>
  <c r="K835" i="33"/>
  <c r="K836" i="33"/>
  <c r="K837" i="33"/>
  <c r="K838" i="33"/>
  <c r="K839" i="33"/>
  <c r="K840" i="33"/>
  <c r="K841" i="33"/>
  <c r="K844" i="33"/>
  <c r="K845" i="33"/>
  <c r="K846" i="33"/>
  <c r="K847" i="33"/>
  <c r="K848" i="33"/>
  <c r="K849" i="33"/>
  <c r="K850" i="33"/>
  <c r="K851" i="33"/>
  <c r="K852" i="33"/>
  <c r="K853" i="33"/>
  <c r="K854" i="33"/>
  <c r="K855" i="33"/>
  <c r="K856" i="33"/>
  <c r="K857" i="33"/>
  <c r="K858" i="33"/>
  <c r="K860" i="33"/>
  <c r="K861" i="33"/>
  <c r="K862" i="33"/>
  <c r="K864" i="33"/>
  <c r="K865" i="33"/>
  <c r="K866" i="33"/>
  <c r="K867" i="33"/>
  <c r="K868" i="33"/>
  <c r="K869" i="33"/>
  <c r="K870" i="33"/>
  <c r="K871" i="33"/>
  <c r="K872" i="33"/>
  <c r="K873" i="33"/>
  <c r="K874" i="33"/>
  <c r="K875" i="33"/>
  <c r="K876" i="33"/>
  <c r="K877" i="33"/>
  <c r="K878" i="33"/>
  <c r="K879" i="33"/>
  <c r="K880" i="33"/>
  <c r="K881" i="33"/>
  <c r="K882" i="33"/>
  <c r="K883" i="33"/>
  <c r="K884" i="33"/>
  <c r="K885" i="33"/>
  <c r="K886" i="33"/>
  <c r="K887" i="33"/>
  <c r="K888" i="33"/>
  <c r="K889" i="33"/>
  <c r="K890" i="33"/>
  <c r="K891" i="33"/>
  <c r="K892" i="33"/>
  <c r="K893" i="33"/>
  <c r="K894" i="33"/>
  <c r="K895" i="33"/>
  <c r="K896" i="33"/>
  <c r="K897" i="33"/>
  <c r="K898" i="33"/>
  <c r="K899" i="33"/>
  <c r="K900" i="33"/>
  <c r="K901" i="33"/>
  <c r="K902" i="33"/>
  <c r="K903" i="33"/>
  <c r="K904" i="33"/>
  <c r="K905" i="33"/>
  <c r="K906" i="33"/>
  <c r="K907" i="33"/>
  <c r="K908" i="33"/>
  <c r="K909" i="33"/>
  <c r="K910" i="33"/>
  <c r="K911" i="33"/>
  <c r="K912" i="33"/>
  <c r="K913" i="33"/>
  <c r="K914" i="33"/>
  <c r="K915" i="33"/>
  <c r="K916" i="33"/>
  <c r="K917" i="33"/>
  <c r="K918" i="33"/>
  <c r="K919" i="33"/>
  <c r="K920" i="33"/>
  <c r="K921" i="33"/>
  <c r="K922" i="33"/>
  <c r="K923" i="33"/>
  <c r="K924" i="33"/>
  <c r="K925" i="33"/>
  <c r="K926" i="33"/>
  <c r="K927" i="33"/>
  <c r="K928" i="33"/>
  <c r="K929" i="33"/>
  <c r="K930" i="33"/>
  <c r="K931" i="33"/>
  <c r="K932" i="33"/>
  <c r="K933" i="33"/>
  <c r="K935" i="33"/>
  <c r="K936" i="33"/>
  <c r="K937" i="33"/>
  <c r="K938" i="33"/>
  <c r="K939" i="33"/>
  <c r="K940" i="33"/>
  <c r="K941" i="33"/>
  <c r="K942" i="33"/>
  <c r="K943" i="33"/>
  <c r="K944" i="33"/>
  <c r="K945" i="33"/>
  <c r="K946" i="33"/>
  <c r="K947" i="33"/>
  <c r="K948" i="33"/>
  <c r="K949" i="33"/>
  <c r="K950" i="33"/>
  <c r="K951" i="33"/>
  <c r="K952" i="33"/>
  <c r="K953" i="33"/>
  <c r="K954" i="33"/>
  <c r="K955" i="33"/>
  <c r="K956" i="33"/>
  <c r="K957" i="33"/>
  <c r="K958" i="33"/>
  <c r="K959" i="33"/>
  <c r="K960" i="33"/>
  <c r="K961" i="33"/>
  <c r="K962" i="33"/>
  <c r="K963" i="33"/>
  <c r="K964" i="33"/>
  <c r="K965" i="33"/>
  <c r="K966" i="33"/>
  <c r="K967" i="33"/>
  <c r="K968" i="33"/>
  <c r="K969" i="33"/>
  <c r="K970" i="33"/>
  <c r="K971" i="33"/>
  <c r="K972" i="33"/>
  <c r="K973" i="33"/>
  <c r="K975" i="33"/>
  <c r="K976" i="33"/>
  <c r="K977" i="33"/>
  <c r="K978" i="33"/>
  <c r="K979" i="33"/>
  <c r="K980" i="33"/>
  <c r="K981" i="33"/>
  <c r="K982" i="33"/>
  <c r="K983" i="33"/>
  <c r="K984" i="33"/>
  <c r="K985" i="33"/>
  <c r="K986" i="33"/>
  <c r="K987" i="33"/>
  <c r="K988" i="33"/>
  <c r="K989" i="33"/>
  <c r="K990" i="33"/>
  <c r="K991" i="33"/>
  <c r="K992" i="33"/>
  <c r="K993" i="33"/>
  <c r="K994" i="33"/>
  <c r="K995" i="33"/>
  <c r="K996" i="33"/>
  <c r="K997" i="33"/>
  <c r="K998" i="33"/>
  <c r="K1000" i="33"/>
  <c r="K1001" i="33"/>
  <c r="K1002" i="33"/>
  <c r="K1003" i="33"/>
  <c r="K1004" i="33"/>
  <c r="K1005" i="33"/>
  <c r="K1006" i="33"/>
  <c r="K1007" i="33"/>
  <c r="K1008" i="33"/>
  <c r="K1009" i="33"/>
  <c r="K1010" i="33"/>
  <c r="K1011" i="33"/>
  <c r="K1012" i="33"/>
  <c r="K1013" i="33"/>
  <c r="K1014" i="33"/>
  <c r="K1015" i="33"/>
  <c r="K1016" i="33"/>
  <c r="K1017" i="33"/>
  <c r="K1018" i="33"/>
  <c r="K1019" i="33"/>
  <c r="K1020" i="33"/>
  <c r="K1021" i="33"/>
  <c r="K1022" i="33"/>
  <c r="K1023" i="33"/>
  <c r="K1024" i="33"/>
  <c r="K1025" i="33"/>
  <c r="K1026" i="33"/>
  <c r="K1027" i="33"/>
  <c r="K1028" i="33"/>
  <c r="K1029" i="33"/>
  <c r="K1030" i="33"/>
  <c r="K1031" i="33"/>
  <c r="K1032" i="33"/>
  <c r="K1033" i="33"/>
  <c r="K1034" i="33"/>
  <c r="K1035" i="33"/>
  <c r="K1036" i="33"/>
  <c r="K1037" i="33"/>
  <c r="K1038" i="33"/>
  <c r="K1039" i="33"/>
  <c r="K1040" i="33"/>
  <c r="K1041" i="33"/>
  <c r="K1042" i="33"/>
  <c r="K1043" i="33"/>
  <c r="K1044" i="33"/>
  <c r="K1046" i="33"/>
  <c r="K1047" i="33"/>
  <c r="K1048" i="33"/>
  <c r="K1049" i="33"/>
  <c r="K1050" i="33"/>
  <c r="K1051" i="33"/>
  <c r="K1052" i="33"/>
  <c r="K1053" i="33"/>
  <c r="K1054" i="33"/>
  <c r="K1055" i="33"/>
  <c r="K1056" i="33"/>
  <c r="K1057" i="33"/>
  <c r="K1058" i="33"/>
  <c r="K1059" i="33"/>
  <c r="K1060" i="33"/>
  <c r="K1062" i="33"/>
  <c r="K1063" i="33"/>
  <c r="K1064" i="33"/>
  <c r="K1065" i="33"/>
  <c r="K1066" i="33"/>
  <c r="K1067" i="33"/>
  <c r="K1069" i="33"/>
  <c r="K1070" i="33"/>
  <c r="K1071" i="33"/>
  <c r="K1072" i="33"/>
  <c r="K1073" i="33"/>
  <c r="K1074" i="33"/>
  <c r="K1075" i="33"/>
  <c r="K1076" i="33"/>
  <c r="K1077" i="33"/>
  <c r="K1078" i="33"/>
  <c r="K1079" i="33"/>
  <c r="K1080" i="33"/>
  <c r="K1081" i="33"/>
  <c r="K1082" i="33"/>
  <c r="K1083" i="33"/>
  <c r="K1084" i="33"/>
  <c r="K1085" i="33"/>
  <c r="K1086" i="33"/>
  <c r="K1087" i="33"/>
  <c r="K1088" i="33"/>
  <c r="K1089" i="33"/>
  <c r="K1090" i="33"/>
  <c r="K1091" i="33"/>
  <c r="K1092" i="33"/>
  <c r="K1093" i="33"/>
  <c r="K1094" i="33"/>
  <c r="K1095" i="33"/>
  <c r="K1096" i="33"/>
  <c r="K1097" i="33"/>
  <c r="K1098" i="33"/>
  <c r="K1099" i="33"/>
  <c r="K1100" i="33"/>
  <c r="K1101" i="33"/>
  <c r="K1102" i="33"/>
  <c r="K1103" i="33"/>
  <c r="K1104" i="33"/>
  <c r="K1105" i="33"/>
  <c r="K1106" i="33"/>
  <c r="K1107" i="33"/>
  <c r="K1108" i="33"/>
  <c r="K1109" i="33"/>
  <c r="K1110" i="33"/>
  <c r="K1111" i="33"/>
  <c r="K1112" i="33"/>
  <c r="K1113" i="33"/>
  <c r="K1114" i="33"/>
  <c r="K1115" i="33"/>
  <c r="K1116" i="33"/>
  <c r="K1117" i="33"/>
  <c r="K1118" i="33"/>
  <c r="K1119" i="33"/>
  <c r="K1120" i="33"/>
  <c r="K1121" i="33"/>
  <c r="K1122" i="33"/>
  <c r="K1123" i="33"/>
  <c r="K1124" i="33"/>
  <c r="K1125" i="33"/>
  <c r="K1126" i="33"/>
  <c r="K1127" i="33"/>
  <c r="K1128" i="33"/>
  <c r="K1129" i="33"/>
  <c r="K1130" i="33"/>
  <c r="K1131" i="33"/>
  <c r="K1132" i="33"/>
  <c r="K1133" i="33"/>
  <c r="K1134" i="33"/>
  <c r="K1135" i="33"/>
  <c r="K1136" i="33"/>
  <c r="K1137" i="33"/>
  <c r="K1141" i="33"/>
  <c r="K1142" i="33"/>
  <c r="K1146" i="33"/>
  <c r="K1147" i="33"/>
  <c r="K1148" i="33"/>
  <c r="K1149" i="33"/>
  <c r="K1150" i="33"/>
  <c r="K1151" i="33"/>
  <c r="K1152" i="33"/>
  <c r="K1153" i="33"/>
  <c r="K1154" i="33"/>
  <c r="K1155" i="33"/>
  <c r="K1156" i="33"/>
  <c r="K1157" i="33"/>
  <c r="K1158" i="33"/>
  <c r="K1159" i="33"/>
  <c r="K1160" i="33"/>
  <c r="K1161" i="33"/>
  <c r="K1162" i="33"/>
  <c r="K1163" i="33"/>
  <c r="K1164" i="33"/>
  <c r="K1165" i="33"/>
  <c r="K1166" i="33"/>
  <c r="K1167" i="33"/>
  <c r="K1168" i="33"/>
  <c r="K1169" i="33"/>
  <c r="K1170" i="33"/>
  <c r="K1171" i="33"/>
  <c r="K1172" i="33"/>
  <c r="K1174" i="33"/>
  <c r="K1175" i="33"/>
  <c r="K1177" i="33"/>
  <c r="K1178" i="33"/>
  <c r="K1181" i="33"/>
  <c r="K1182" i="33"/>
  <c r="K1183" i="33"/>
  <c r="K1184" i="33"/>
  <c r="K1185" i="33"/>
  <c r="K1186" i="33"/>
  <c r="K1187" i="33"/>
  <c r="K1188" i="33"/>
  <c r="K1189" i="33"/>
  <c r="K1190" i="33"/>
  <c r="K1191" i="33"/>
  <c r="K1192" i="33"/>
  <c r="K1193" i="33"/>
  <c r="K1194" i="33"/>
  <c r="K1195" i="33"/>
  <c r="K1196" i="33"/>
  <c r="K1197" i="33"/>
  <c r="K1198" i="33"/>
  <c r="K1199" i="33"/>
  <c r="K1200" i="33"/>
  <c r="K1201" i="33"/>
  <c r="K1202" i="33"/>
  <c r="K1203" i="33"/>
  <c r="K1204" i="33"/>
  <c r="K1205" i="33"/>
  <c r="K1206" i="33"/>
  <c r="K1207" i="33"/>
  <c r="K1208" i="33"/>
  <c r="K1209" i="33"/>
  <c r="K1210" i="33"/>
  <c r="K1211" i="33"/>
  <c r="K1212" i="33"/>
  <c r="K1216" i="33"/>
  <c r="K1217" i="33"/>
  <c r="K1218" i="33"/>
  <c r="K1219" i="33"/>
  <c r="K1220" i="33"/>
  <c r="K1221" i="33"/>
  <c r="K1222" i="33"/>
  <c r="K1223" i="33"/>
  <c r="K1224" i="33"/>
  <c r="K1225" i="33"/>
  <c r="K1226" i="33"/>
  <c r="K1227" i="33"/>
  <c r="K1228" i="33"/>
  <c r="K1229" i="33"/>
  <c r="K1230" i="33"/>
  <c r="K1231" i="33"/>
  <c r="K1232" i="33"/>
  <c r="K1233" i="33"/>
  <c r="K1236" i="33"/>
  <c r="K1237" i="33"/>
  <c r="K1238" i="33"/>
  <c r="K1239" i="33"/>
  <c r="K1240" i="33"/>
  <c r="K1241" i="33"/>
  <c r="K1242" i="33"/>
  <c r="K1243" i="33"/>
  <c r="K1244" i="33"/>
  <c r="K1245" i="33"/>
  <c r="K1246" i="33"/>
  <c r="K1247" i="33"/>
  <c r="K1248" i="33"/>
  <c r="K1249" i="33"/>
  <c r="K1250" i="33"/>
  <c r="K1251" i="33"/>
  <c r="K1252" i="33"/>
  <c r="K1253" i="33"/>
  <c r="K1254" i="33"/>
  <c r="K1255" i="33"/>
  <c r="K1256" i="33"/>
  <c r="K1257" i="33"/>
  <c r="K1258" i="33"/>
  <c r="K1259" i="33"/>
  <c r="K1260" i="33"/>
  <c r="K1261" i="33"/>
  <c r="K1262" i="33"/>
  <c r="K1263" i="33"/>
  <c r="K1264" i="33"/>
  <c r="K1265" i="33"/>
  <c r="K1268" i="33"/>
  <c r="K1270" i="33"/>
  <c r="K1271" i="33"/>
  <c r="K1272" i="33"/>
  <c r="K1273" i="33"/>
  <c r="K1275" i="33"/>
  <c r="K1277" i="33"/>
  <c r="K1279" i="33"/>
  <c r="K1280" i="33"/>
  <c r="K1281" i="33"/>
  <c r="K1282" i="33"/>
  <c r="K1283" i="33"/>
  <c r="K1284" i="33"/>
  <c r="K1285" i="33"/>
  <c r="K1286" i="33"/>
  <c r="K1287" i="33"/>
  <c r="K1288" i="33"/>
  <c r="K1289" i="33"/>
  <c r="K1290" i="33"/>
  <c r="K1291" i="33"/>
  <c r="K1292" i="33"/>
  <c r="K1293" i="33"/>
  <c r="K1294" i="33"/>
  <c r="K1295" i="33"/>
  <c r="K1296" i="33"/>
  <c r="K1297" i="33"/>
  <c r="K1298" i="33"/>
  <c r="K1299" i="33"/>
  <c r="K1300" i="33"/>
  <c r="K1301" i="33"/>
  <c r="K1302" i="33"/>
  <c r="K1303" i="33"/>
  <c r="K1304" i="33"/>
  <c r="K1305" i="33"/>
  <c r="K1306" i="33"/>
  <c r="K1307" i="33"/>
  <c r="K1308" i="33"/>
  <c r="K1309" i="33"/>
  <c r="K1311" i="33"/>
  <c r="K1312" i="33"/>
  <c r="K1313" i="33"/>
  <c r="K1314" i="33"/>
  <c r="K1315" i="33"/>
  <c r="K1316" i="33"/>
  <c r="K1317" i="33"/>
  <c r="K1318" i="33"/>
  <c r="K1319" i="33"/>
  <c r="K1320" i="33"/>
  <c r="K1324" i="33"/>
  <c r="K1325" i="33"/>
  <c r="K1326" i="33"/>
  <c r="K1327" i="33"/>
  <c r="K1328" i="33"/>
  <c r="K1329" i="33"/>
  <c r="K1330" i="33"/>
  <c r="K1331" i="33"/>
  <c r="K1332" i="33"/>
  <c r="K1334" i="33"/>
  <c r="K1335" i="33"/>
  <c r="K1336" i="33"/>
  <c r="K1337" i="33"/>
  <c r="K1338" i="33"/>
  <c r="K1339" i="33"/>
  <c r="K1340" i="33"/>
  <c r="K1341" i="33"/>
  <c r="K1342" i="33"/>
  <c r="K1343" i="33"/>
  <c r="K1344" i="33"/>
  <c r="K1345" i="33"/>
  <c r="K1346" i="33"/>
  <c r="K1347" i="33"/>
  <c r="K1349" i="33"/>
  <c r="K1350" i="33"/>
  <c r="K1351" i="33"/>
  <c r="K1352" i="33"/>
  <c r="K1353" i="33"/>
  <c r="K1354" i="33"/>
  <c r="K1355" i="33"/>
  <c r="K1356" i="33"/>
  <c r="K1357" i="33"/>
  <c r="K1358" i="33"/>
  <c r="K1359" i="33"/>
  <c r="K1360" i="33"/>
  <c r="K1361" i="33"/>
  <c r="K1362" i="33"/>
  <c r="K1363" i="33"/>
  <c r="K1364" i="33"/>
  <c r="K1365" i="33"/>
  <c r="K1366" i="33"/>
  <c r="K1367" i="33"/>
  <c r="K1368" i="33"/>
  <c r="K1369" i="33"/>
  <c r="K1370" i="33"/>
  <c r="K1371" i="33"/>
  <c r="K1372" i="33"/>
  <c r="K1373" i="33"/>
  <c r="K1374" i="33"/>
  <c r="K1375" i="33"/>
  <c r="K1376" i="33"/>
  <c r="K1377" i="33"/>
  <c r="K1378" i="33"/>
  <c r="K1379" i="33"/>
  <c r="K1380" i="33"/>
  <c r="K1381" i="33"/>
  <c r="K1382" i="33"/>
  <c r="K1384" i="33"/>
  <c r="K1385" i="33"/>
  <c r="K1386" i="33"/>
  <c r="K1387" i="33"/>
  <c r="K1388" i="33"/>
  <c r="K1390" i="33"/>
  <c r="K1391" i="33"/>
  <c r="K1392" i="33"/>
  <c r="K1393" i="33"/>
  <c r="K1394" i="33"/>
  <c r="K1395" i="33"/>
  <c r="K1396" i="33"/>
  <c r="K1397" i="33"/>
  <c r="K1399" i="33"/>
  <c r="K1400" i="33"/>
  <c r="K1401" i="33"/>
  <c r="K1402" i="33"/>
  <c r="K1403" i="33"/>
  <c r="K1404" i="33"/>
  <c r="K1406" i="33"/>
  <c r="K1407" i="33"/>
  <c r="K1408" i="33"/>
  <c r="K1409" i="33"/>
  <c r="K1410" i="33"/>
  <c r="K1411" i="33"/>
  <c r="K1412" i="33"/>
  <c r="K1413" i="33"/>
  <c r="K1414" i="33"/>
  <c r="K1415" i="33"/>
  <c r="K1416" i="33"/>
  <c r="M2620" i="33"/>
  <c r="M2621" i="33"/>
  <c r="M2622" i="33"/>
  <c r="M2623" i="33"/>
  <c r="M2624" i="33"/>
  <c r="M2625" i="33"/>
  <c r="M2626" i="33"/>
  <c r="M2627" i="33"/>
  <c r="M2628" i="33"/>
  <c r="M2629" i="33"/>
  <c r="M2630" i="33"/>
  <c r="M2631" i="33"/>
  <c r="M2632" i="33"/>
  <c r="M2633" i="33"/>
  <c r="M2634" i="33"/>
  <c r="M2635" i="33"/>
  <c r="M2636" i="33"/>
  <c r="M2637" i="33"/>
  <c r="M2638" i="33"/>
  <c r="M2639" i="33"/>
  <c r="M2640" i="33"/>
  <c r="M2641" i="33"/>
  <c r="M2642" i="33"/>
  <c r="M2643" i="33"/>
  <c r="M2644" i="33"/>
  <c r="M2645" i="33"/>
  <c r="M2646" i="33"/>
  <c r="M2647" i="33"/>
  <c r="M2648" i="33"/>
  <c r="M2649" i="33"/>
  <c r="M2650" i="33"/>
  <c r="M2651" i="33"/>
  <c r="M2652" i="33"/>
  <c r="M2653" i="33"/>
  <c r="M2654" i="33"/>
  <c r="M2655" i="33"/>
  <c r="M2656" i="33"/>
  <c r="M2657" i="33"/>
  <c r="M2658" i="33"/>
  <c r="M2659" i="33"/>
  <c r="M2660" i="33"/>
  <c r="M2661" i="33"/>
  <c r="M2662" i="33"/>
  <c r="K4" i="33"/>
  <c r="A70" i="24" l="1"/>
  <c r="A3" i="49" s="1"/>
  <c r="D35" i="46" l="1"/>
  <c r="D34" i="46"/>
  <c r="D33" i="46"/>
  <c r="D32" i="46"/>
  <c r="D31" i="46"/>
  <c r="D30" i="46"/>
  <c r="D29" i="46"/>
  <c r="D28" i="46"/>
  <c r="D27" i="46"/>
  <c r="D26" i="46"/>
  <c r="D25" i="46"/>
  <c r="D24" i="46"/>
  <c r="D23" i="46"/>
  <c r="D22" i="46"/>
  <c r="D21" i="46"/>
  <c r="D20" i="46"/>
  <c r="D19" i="46"/>
  <c r="D18" i="46"/>
  <c r="D17" i="46"/>
  <c r="D16" i="46"/>
  <c r="D15" i="46"/>
  <c r="D14" i="46"/>
  <c r="D13" i="46"/>
  <c r="J35" i="43" l="1"/>
  <c r="G36" i="43"/>
  <c r="H36" i="43"/>
  <c r="J36" i="43"/>
  <c r="F38" i="43"/>
  <c r="G38" i="43"/>
  <c r="H38" i="43"/>
  <c r="I38" i="43"/>
  <c r="J38" i="43"/>
  <c r="K38" i="43"/>
  <c r="L38" i="43"/>
  <c r="N38" i="43"/>
  <c r="A4" i="60" l="1"/>
  <c r="I18" i="20"/>
  <c r="D4" i="20" l="1"/>
  <c r="E4" i="20" s="1"/>
  <c r="F4" i="20" s="1"/>
  <c r="G4" i="20" s="1"/>
  <c r="H4" i="20" s="1"/>
  <c r="I4" i="20" s="1"/>
  <c r="J4" i="20" s="1"/>
  <c r="K4" i="20" s="1"/>
  <c r="L4" i="20" s="1"/>
  <c r="M4" i="20" s="1"/>
  <c r="N4" i="20" s="1"/>
  <c r="D11" i="46" l="1"/>
  <c r="D10" i="46"/>
  <c r="D12" i="46"/>
  <c r="D6" i="46"/>
  <c r="D9" i="46"/>
  <c r="D8" i="46"/>
  <c r="D7" i="46"/>
  <c r="N13" i="36"/>
  <c r="N14" i="36" s="1"/>
  <c r="N22" i="36"/>
  <c r="N26" i="36" s="1"/>
  <c r="D14" i="36" l="1"/>
  <c r="E14" i="36"/>
  <c r="F13" i="36"/>
  <c r="F14" i="36" s="1"/>
  <c r="G13" i="36"/>
  <c r="G14" i="36" s="1"/>
  <c r="H13" i="36"/>
  <c r="H14" i="36" s="1"/>
  <c r="I13" i="36"/>
  <c r="I14" i="36" s="1"/>
  <c r="J13" i="36"/>
  <c r="J14" i="36" s="1"/>
  <c r="K13" i="36"/>
  <c r="K14" i="36" s="1"/>
  <c r="L13" i="36"/>
  <c r="L14" i="36" s="1"/>
  <c r="M13" i="36"/>
  <c r="M14" i="36" s="1"/>
  <c r="C14" i="36"/>
  <c r="O11" i="36"/>
  <c r="O13" i="36" l="1"/>
  <c r="C1" i="41" l="1"/>
  <c r="D1" i="41"/>
  <c r="E1" i="41"/>
  <c r="F1" i="41"/>
  <c r="D4" i="43" l="1"/>
  <c r="D4" i="21"/>
  <c r="D28" i="36"/>
  <c r="D4" i="36"/>
  <c r="D4" i="38"/>
  <c r="C28" i="36"/>
  <c r="C4" i="43"/>
  <c r="C4" i="21"/>
  <c r="D15" i="20"/>
  <c r="C118" i="43" l="1"/>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16" i="43"/>
  <c r="C117" i="43"/>
  <c r="D140" i="38"/>
  <c r="D141" i="38"/>
  <c r="D116" i="38"/>
  <c r="D117" i="38"/>
  <c r="D118" i="38"/>
  <c r="D119" i="38"/>
  <c r="D120" i="38"/>
  <c r="D121" i="38"/>
  <c r="D122" i="38"/>
  <c r="D123" i="38"/>
  <c r="D124" i="38"/>
  <c r="D125" i="38"/>
  <c r="D126" i="38"/>
  <c r="D127" i="38"/>
  <c r="D128" i="38"/>
  <c r="D129" i="38"/>
  <c r="D130" i="38"/>
  <c r="D131" i="38"/>
  <c r="D132" i="38"/>
  <c r="D133" i="38"/>
  <c r="D134" i="38"/>
  <c r="D135" i="38"/>
  <c r="D136" i="38"/>
  <c r="D137" i="38"/>
  <c r="D138" i="38"/>
  <c r="D139" i="38"/>
  <c r="D170" i="38"/>
  <c r="D145" i="38"/>
  <c r="D171" i="38"/>
  <c r="D144" i="38"/>
  <c r="D146" i="38"/>
  <c r="D147" i="38"/>
  <c r="D148" i="38"/>
  <c r="D149" i="38"/>
  <c r="D150" i="38"/>
  <c r="D151" i="38"/>
  <c r="D152" i="38"/>
  <c r="D153" i="38"/>
  <c r="D154" i="38"/>
  <c r="D155" i="38"/>
  <c r="D156" i="38"/>
  <c r="D157" i="38"/>
  <c r="D142" i="38"/>
  <c r="D158" i="38"/>
  <c r="D159" i="38"/>
  <c r="D160" i="38"/>
  <c r="D161" i="38"/>
  <c r="D162" i="38"/>
  <c r="D163" i="38"/>
  <c r="D172" i="38"/>
  <c r="D143" i="38"/>
  <c r="D164" i="38"/>
  <c r="D165" i="38"/>
  <c r="D166" i="38"/>
  <c r="D167" i="38"/>
  <c r="D168" i="38"/>
  <c r="D169" i="38"/>
  <c r="D116" i="43"/>
  <c r="D117" i="43"/>
  <c r="D118" i="43"/>
  <c r="D119" i="43"/>
  <c r="D120" i="43"/>
  <c r="D121" i="43"/>
  <c r="D122" i="43"/>
  <c r="D123" i="43"/>
  <c r="D124" i="43"/>
  <c r="D125" i="43"/>
  <c r="D126" i="43"/>
  <c r="D127" i="43"/>
  <c r="D128" i="43"/>
  <c r="D129" i="43"/>
  <c r="D130" i="43"/>
  <c r="D131" i="43"/>
  <c r="D132" i="43"/>
  <c r="D133" i="43"/>
  <c r="D134" i="43"/>
  <c r="D135" i="43"/>
  <c r="D136" i="43"/>
  <c r="D137" i="43"/>
  <c r="D138" i="43"/>
  <c r="D139" i="43"/>
  <c r="D140" i="43"/>
  <c r="D141" i="43"/>
  <c r="D142" i="43"/>
  <c r="D143" i="43"/>
  <c r="D144" i="43"/>
  <c r="D145" i="43"/>
  <c r="D146" i="43"/>
  <c r="D147" i="43"/>
  <c r="D148" i="43"/>
  <c r="D149" i="43"/>
  <c r="D150" i="43"/>
  <c r="D151" i="43"/>
  <c r="D152" i="43"/>
  <c r="D153" i="43"/>
  <c r="D154" i="43"/>
  <c r="D155" i="43"/>
  <c r="D156" i="43"/>
  <c r="D157" i="43"/>
  <c r="D158" i="43"/>
  <c r="D159" i="43"/>
  <c r="D160" i="43"/>
  <c r="D161" i="43"/>
  <c r="D162" i="43"/>
  <c r="D163" i="43"/>
  <c r="D164" i="43"/>
  <c r="D165" i="43"/>
  <c r="D166" i="43"/>
  <c r="D167" i="43"/>
  <c r="D168" i="43"/>
  <c r="D169" i="43"/>
  <c r="D170" i="43"/>
  <c r="D190" i="38"/>
  <c r="D9" i="38"/>
  <c r="D8" i="38"/>
  <c r="D13" i="38"/>
  <c r="D12" i="38"/>
  <c r="D11" i="38"/>
  <c r="D184" i="38"/>
  <c r="D104" i="38"/>
  <c r="D82" i="38"/>
  <c r="D70" i="38"/>
  <c r="D183" i="38"/>
  <c r="D115" i="38"/>
  <c r="D103" i="38"/>
  <c r="D93" i="38"/>
  <c r="D81" i="38"/>
  <c r="D69" i="38"/>
  <c r="D64" i="38"/>
  <c r="D52" i="38"/>
  <c r="D51" i="38"/>
  <c r="D50" i="38"/>
  <c r="D49" i="38"/>
  <c r="D48" i="38"/>
  <c r="D47" i="38"/>
  <c r="D44" i="38"/>
  <c r="D43" i="38"/>
  <c r="D42" i="38"/>
  <c r="D41" i="38"/>
  <c r="D40" i="38"/>
  <c r="D39" i="38"/>
  <c r="D38" i="38"/>
  <c r="D37" i="38"/>
  <c r="D36" i="38"/>
  <c r="D35" i="38"/>
  <c r="D34" i="38"/>
  <c r="D31" i="38"/>
  <c r="D30" i="38"/>
  <c r="D27" i="38"/>
  <c r="D26" i="38"/>
  <c r="D25" i="38"/>
  <c r="D24" i="38"/>
  <c r="D23" i="38"/>
  <c r="D22" i="38"/>
  <c r="D21" i="38"/>
  <c r="D20" i="38"/>
  <c r="D182" i="38"/>
  <c r="D114" i="38"/>
  <c r="D102" i="38"/>
  <c r="D92" i="38"/>
  <c r="D80" i="38"/>
  <c r="D68" i="38"/>
  <c r="D53" i="38"/>
  <c r="D181" i="38"/>
  <c r="D113" i="38"/>
  <c r="D101" i="38"/>
  <c r="D91" i="38"/>
  <c r="D79" i="38"/>
  <c r="D67" i="38"/>
  <c r="D54" i="38"/>
  <c r="D180" i="38"/>
  <c r="D112" i="38"/>
  <c r="D100" i="38"/>
  <c r="D90" i="38"/>
  <c r="D78" i="38"/>
  <c r="D55" i="38"/>
  <c r="D179" i="38"/>
  <c r="D111" i="38"/>
  <c r="D99" i="38"/>
  <c r="D89" i="38"/>
  <c r="D77" i="38"/>
  <c r="D66" i="38"/>
  <c r="D59" i="38"/>
  <c r="D178" i="38"/>
  <c r="D110" i="38"/>
  <c r="D98" i="38"/>
  <c r="D88" i="38"/>
  <c r="D76" i="38"/>
  <c r="D60" i="38"/>
  <c r="D177" i="38"/>
  <c r="D109" i="38"/>
  <c r="D97" i="38"/>
  <c r="D87" i="38"/>
  <c r="D75" i="38"/>
  <c r="D61" i="38"/>
  <c r="D188" i="38"/>
  <c r="D176" i="38"/>
  <c r="D108" i="38"/>
  <c r="D96" i="38"/>
  <c r="D86" i="38"/>
  <c r="D74" i="38"/>
  <c r="D65" i="38"/>
  <c r="D62" i="38"/>
  <c r="D187" i="38"/>
  <c r="D175" i="38"/>
  <c r="D107" i="38"/>
  <c r="D95" i="38"/>
  <c r="D85" i="38"/>
  <c r="D73" i="38"/>
  <c r="D186" i="38"/>
  <c r="D106" i="38"/>
  <c r="D94" i="38"/>
  <c r="D84" i="38"/>
  <c r="D72" i="38"/>
  <c r="D63" i="38"/>
  <c r="D185" i="38"/>
  <c r="D105" i="38"/>
  <c r="D83" i="38"/>
  <c r="D71" i="38"/>
  <c r="C29" i="43"/>
  <c r="C28" i="43"/>
  <c r="C25" i="43"/>
  <c r="C24" i="43"/>
  <c r="C23" i="43"/>
  <c r="C22" i="43"/>
  <c r="C21" i="43"/>
  <c r="C20" i="43"/>
  <c r="C19" i="43"/>
  <c r="C18" i="43"/>
  <c r="C42" i="43"/>
  <c r="C41" i="43"/>
  <c r="C40" i="43"/>
  <c r="C53" i="43"/>
  <c r="C52" i="43"/>
  <c r="C51" i="43"/>
  <c r="C50" i="43"/>
  <c r="C49" i="43"/>
  <c r="C48" i="43"/>
  <c r="C47" i="43"/>
  <c r="C46" i="43"/>
  <c r="C45" i="43"/>
  <c r="C115" i="43"/>
  <c r="C114" i="43"/>
  <c r="C113" i="43"/>
  <c r="C112" i="43"/>
  <c r="C111" i="43"/>
  <c r="C110" i="43"/>
  <c r="C109" i="43"/>
  <c r="C108" i="43"/>
  <c r="C107" i="43"/>
  <c r="C106" i="43"/>
  <c r="C105" i="43"/>
  <c r="C104" i="43"/>
  <c r="C103" i="43"/>
  <c r="C102" i="43"/>
  <c r="C101" i="43"/>
  <c r="C100" i="43"/>
  <c r="C99" i="43"/>
  <c r="C98" i="43"/>
  <c r="C97" i="43"/>
  <c r="C96" i="43"/>
  <c r="C95" i="43"/>
  <c r="C94" i="43"/>
  <c r="C93" i="43"/>
  <c r="C92" i="43"/>
  <c r="C91" i="43"/>
  <c r="C90" i="43"/>
  <c r="C89" i="43"/>
  <c r="C88" i="43"/>
  <c r="C87" i="43"/>
  <c r="C86" i="43"/>
  <c r="C85" i="43"/>
  <c r="C84" i="43"/>
  <c r="C83" i="43"/>
  <c r="C82" i="43"/>
  <c r="C81" i="43"/>
  <c r="C80" i="43"/>
  <c r="C79" i="43"/>
  <c r="C78" i="43"/>
  <c r="C77" i="43"/>
  <c r="C76" i="43"/>
  <c r="C75" i="43"/>
  <c r="C74" i="43"/>
  <c r="C73" i="43"/>
  <c r="C72" i="43"/>
  <c r="C71" i="43"/>
  <c r="C70" i="43"/>
  <c r="C69" i="43"/>
  <c r="C68" i="43"/>
  <c r="C67" i="43"/>
  <c r="C66" i="43"/>
  <c r="C186" i="43"/>
  <c r="C185" i="43"/>
  <c r="C184" i="43"/>
  <c r="C183" i="43"/>
  <c r="C182" i="43"/>
  <c r="C181" i="43"/>
  <c r="C180" i="43"/>
  <c r="C179" i="43"/>
  <c r="C178" i="43"/>
  <c r="C177" i="43"/>
  <c r="C176" i="43"/>
  <c r="C175" i="43"/>
  <c r="C174" i="43"/>
  <c r="C173" i="43"/>
  <c r="C188" i="43"/>
  <c r="C11" i="43"/>
  <c r="C10" i="43"/>
  <c r="C9" i="43"/>
  <c r="C7" i="43"/>
  <c r="C6" i="43"/>
  <c r="C65" i="43"/>
  <c r="C62" i="43"/>
  <c r="C57" i="43"/>
  <c r="C58" i="43"/>
  <c r="C59" i="43"/>
  <c r="C64" i="43"/>
  <c r="C60" i="43"/>
  <c r="C61" i="43"/>
  <c r="C63" i="43"/>
  <c r="D29" i="43"/>
  <c r="D28" i="43"/>
  <c r="D25" i="43"/>
  <c r="D24" i="43"/>
  <c r="D23" i="43"/>
  <c r="D22" i="43"/>
  <c r="D21" i="43"/>
  <c r="D20" i="43"/>
  <c r="D19" i="43"/>
  <c r="D18" i="43"/>
  <c r="D42" i="43"/>
  <c r="D41" i="43"/>
  <c r="D40" i="43"/>
  <c r="D53" i="43"/>
  <c r="D52" i="43"/>
  <c r="D51" i="43"/>
  <c r="D50" i="43"/>
  <c r="D49" i="43"/>
  <c r="D48" i="43"/>
  <c r="D47" i="43"/>
  <c r="D46" i="43"/>
  <c r="D45" i="43"/>
  <c r="D115" i="43"/>
  <c r="D114" i="43"/>
  <c r="D113" i="43"/>
  <c r="D112" i="43"/>
  <c r="D111" i="43"/>
  <c r="D110" i="43"/>
  <c r="D109" i="43"/>
  <c r="D108" i="43"/>
  <c r="D107" i="43"/>
  <c r="D106" i="43"/>
  <c r="D105" i="43"/>
  <c r="D104" i="43"/>
  <c r="D103" i="43"/>
  <c r="D102" i="43"/>
  <c r="D101" i="43"/>
  <c r="D100" i="43"/>
  <c r="D99" i="43"/>
  <c r="D98" i="43"/>
  <c r="D97" i="43"/>
  <c r="D96" i="43"/>
  <c r="D95" i="43"/>
  <c r="D94" i="43"/>
  <c r="D93" i="43"/>
  <c r="D92" i="43"/>
  <c r="D91" i="43"/>
  <c r="D90" i="43"/>
  <c r="D89" i="43"/>
  <c r="D88" i="43"/>
  <c r="D87" i="43"/>
  <c r="D86" i="43"/>
  <c r="D85" i="43"/>
  <c r="D84" i="43"/>
  <c r="D83" i="43"/>
  <c r="D82" i="43"/>
  <c r="D81" i="43"/>
  <c r="D80" i="43"/>
  <c r="D79" i="43"/>
  <c r="D78" i="43"/>
  <c r="D77" i="43"/>
  <c r="D76" i="43"/>
  <c r="D75" i="43"/>
  <c r="D74" i="43"/>
  <c r="D73" i="43"/>
  <c r="D72" i="43"/>
  <c r="D71" i="43"/>
  <c r="D70" i="43"/>
  <c r="D69" i="43"/>
  <c r="D68" i="43"/>
  <c r="D67" i="43"/>
  <c r="D66" i="43"/>
  <c r="D65" i="43"/>
  <c r="D64" i="43"/>
  <c r="D186" i="43"/>
  <c r="D185" i="43"/>
  <c r="D184" i="43"/>
  <c r="D183" i="43"/>
  <c r="D182" i="43"/>
  <c r="D181" i="43"/>
  <c r="D180" i="43"/>
  <c r="D179" i="43"/>
  <c r="D178" i="43"/>
  <c r="D177" i="43"/>
  <c r="D176" i="43"/>
  <c r="D175" i="43"/>
  <c r="D174" i="43"/>
  <c r="D173" i="43"/>
  <c r="D188" i="43"/>
  <c r="D11" i="43"/>
  <c r="D10" i="43"/>
  <c r="D9" i="43"/>
  <c r="D7" i="43"/>
  <c r="D6" i="43"/>
  <c r="D62" i="43"/>
  <c r="D57" i="43"/>
  <c r="D58" i="43"/>
  <c r="D59" i="43"/>
  <c r="D60" i="43"/>
  <c r="D61" i="43"/>
  <c r="D63" i="43"/>
  <c r="E4" i="21"/>
  <c r="E4" i="43"/>
  <c r="E28" i="36"/>
  <c r="E4" i="36"/>
  <c r="E4" i="38"/>
  <c r="E116" i="43" l="1"/>
  <c r="E117" i="43"/>
  <c r="E118" i="43"/>
  <c r="E119" i="43"/>
  <c r="E120" i="43"/>
  <c r="E121" i="43"/>
  <c r="E122" i="43"/>
  <c r="E123" i="43"/>
  <c r="E124" i="43"/>
  <c r="E125" i="43"/>
  <c r="E126" i="43"/>
  <c r="E127" i="43"/>
  <c r="E128" i="43"/>
  <c r="E129" i="43"/>
  <c r="E130" i="43"/>
  <c r="E131" i="43"/>
  <c r="E132" i="43"/>
  <c r="E133" i="43"/>
  <c r="E134" i="43"/>
  <c r="E135" i="43"/>
  <c r="E136" i="43"/>
  <c r="E137" i="43"/>
  <c r="E138" i="43"/>
  <c r="E139" i="43"/>
  <c r="E140" i="43"/>
  <c r="E141" i="43"/>
  <c r="E142" i="43"/>
  <c r="E143" i="43"/>
  <c r="E144" i="43"/>
  <c r="E145" i="43"/>
  <c r="E146" i="43"/>
  <c r="E147" i="43"/>
  <c r="E148" i="43"/>
  <c r="E149" i="43"/>
  <c r="E150" i="43"/>
  <c r="E151" i="43"/>
  <c r="E152" i="43"/>
  <c r="E153" i="43"/>
  <c r="E154" i="43"/>
  <c r="E155" i="43"/>
  <c r="E156" i="43"/>
  <c r="E157" i="43"/>
  <c r="E158" i="43"/>
  <c r="E159" i="43"/>
  <c r="E160" i="43"/>
  <c r="E161" i="43"/>
  <c r="E162" i="43"/>
  <c r="E163" i="43"/>
  <c r="E164" i="43"/>
  <c r="E165" i="43"/>
  <c r="E166" i="43"/>
  <c r="E167" i="43"/>
  <c r="E168" i="43"/>
  <c r="E169" i="43"/>
  <c r="E170" i="43"/>
  <c r="E134" i="38"/>
  <c r="E135" i="38"/>
  <c r="E136" i="38"/>
  <c r="E137" i="38"/>
  <c r="E138" i="38"/>
  <c r="E139" i="38"/>
  <c r="E140" i="38"/>
  <c r="E141" i="38"/>
  <c r="E142" i="38"/>
  <c r="E143" i="38"/>
  <c r="E116" i="38"/>
  <c r="E117" i="38"/>
  <c r="E118" i="38"/>
  <c r="E119" i="38"/>
  <c r="E120" i="38"/>
  <c r="E121" i="38"/>
  <c r="E122" i="38"/>
  <c r="E123" i="38"/>
  <c r="E124" i="38"/>
  <c r="E125" i="38"/>
  <c r="E126" i="38"/>
  <c r="E127" i="38"/>
  <c r="E128" i="38"/>
  <c r="E129" i="38"/>
  <c r="E130" i="38"/>
  <c r="E131" i="38"/>
  <c r="E132" i="38"/>
  <c r="E133" i="38"/>
  <c r="E145" i="38"/>
  <c r="E144" i="38"/>
  <c r="E146" i="38"/>
  <c r="E147" i="38"/>
  <c r="E148" i="38"/>
  <c r="E149" i="38"/>
  <c r="E150" i="38"/>
  <c r="E151" i="38"/>
  <c r="E172" i="38"/>
  <c r="E152" i="38"/>
  <c r="E153" i="38"/>
  <c r="E154" i="38"/>
  <c r="E155" i="38"/>
  <c r="E156" i="38"/>
  <c r="E157" i="38"/>
  <c r="E158" i="38"/>
  <c r="E159" i="38"/>
  <c r="E160" i="38"/>
  <c r="E161" i="38"/>
  <c r="E162" i="38"/>
  <c r="E163" i="38"/>
  <c r="E171" i="38"/>
  <c r="E164" i="38"/>
  <c r="E165" i="38"/>
  <c r="E166" i="38"/>
  <c r="E167" i="38"/>
  <c r="E168" i="38"/>
  <c r="E169" i="38"/>
  <c r="E170" i="38"/>
  <c r="E190" i="38"/>
  <c r="E9" i="38"/>
  <c r="E8" i="38"/>
  <c r="E13" i="38"/>
  <c r="E12" i="38"/>
  <c r="E11" i="38"/>
  <c r="E188" i="38"/>
  <c r="E187" i="38"/>
  <c r="E186" i="38"/>
  <c r="E185" i="38"/>
  <c r="E184" i="38"/>
  <c r="E183" i="38"/>
  <c r="E182" i="38"/>
  <c r="E181" i="38"/>
  <c r="E180" i="38"/>
  <c r="E179" i="38"/>
  <c r="E178" i="38"/>
  <c r="E177" i="38"/>
  <c r="E176" i="38"/>
  <c r="E175" i="38"/>
  <c r="E115" i="38"/>
  <c r="E114" i="38"/>
  <c r="E113" i="38"/>
  <c r="E112" i="38"/>
  <c r="E111" i="38"/>
  <c r="E110" i="38"/>
  <c r="E109" i="38"/>
  <c r="E108" i="38"/>
  <c r="E107" i="38"/>
  <c r="E106" i="38"/>
  <c r="E105" i="38"/>
  <c r="E104" i="38"/>
  <c r="E103" i="38"/>
  <c r="E102" i="38"/>
  <c r="E101" i="38"/>
  <c r="E100" i="38"/>
  <c r="E99" i="38"/>
  <c r="E98" i="38"/>
  <c r="E97" i="38"/>
  <c r="E96" i="38"/>
  <c r="E95" i="38"/>
  <c r="E94" i="38"/>
  <c r="E93" i="38"/>
  <c r="E92" i="38"/>
  <c r="E91" i="38"/>
  <c r="E90" i="38"/>
  <c r="E89" i="38"/>
  <c r="E88" i="38"/>
  <c r="E87" i="38"/>
  <c r="E86" i="38"/>
  <c r="E85" i="38"/>
  <c r="E84" i="38"/>
  <c r="E83" i="38"/>
  <c r="E82" i="38"/>
  <c r="E81" i="38"/>
  <c r="E80" i="38"/>
  <c r="E79" i="38"/>
  <c r="E78" i="38"/>
  <c r="E77" i="38"/>
  <c r="E76" i="38"/>
  <c r="E75" i="38"/>
  <c r="E74" i="38"/>
  <c r="E73" i="38"/>
  <c r="E72" i="38"/>
  <c r="E71" i="38"/>
  <c r="E70" i="38"/>
  <c r="E69" i="38"/>
  <c r="E68" i="38"/>
  <c r="E67" i="38"/>
  <c r="E66" i="38"/>
  <c r="E64" i="38"/>
  <c r="E52" i="38"/>
  <c r="E51" i="38"/>
  <c r="E50" i="38"/>
  <c r="E49" i="38"/>
  <c r="E48" i="38"/>
  <c r="E47" i="38"/>
  <c r="E44" i="38"/>
  <c r="E43" i="38"/>
  <c r="E42" i="38"/>
  <c r="E41" i="38"/>
  <c r="E40" i="38"/>
  <c r="E39" i="38"/>
  <c r="E38" i="38"/>
  <c r="E37" i="38"/>
  <c r="E36" i="38"/>
  <c r="E35" i="38"/>
  <c r="E34" i="38"/>
  <c r="E31" i="38"/>
  <c r="E30" i="38"/>
  <c r="E27" i="38"/>
  <c r="E26" i="38"/>
  <c r="E25" i="38"/>
  <c r="E24" i="38"/>
  <c r="E23" i="38"/>
  <c r="E22" i="38"/>
  <c r="E21" i="38"/>
  <c r="E20" i="38"/>
  <c r="E53" i="38"/>
  <c r="E54" i="38"/>
  <c r="E55" i="38"/>
  <c r="E59" i="38"/>
  <c r="E60" i="38"/>
  <c r="E61" i="38"/>
  <c r="E65" i="38"/>
  <c r="E62" i="38"/>
  <c r="E63" i="38"/>
  <c r="E29" i="43"/>
  <c r="E28" i="43"/>
  <c r="E25" i="43"/>
  <c r="E24" i="43"/>
  <c r="E23" i="43"/>
  <c r="E22" i="43"/>
  <c r="E21" i="43"/>
  <c r="E20" i="43"/>
  <c r="E19" i="43"/>
  <c r="E18" i="43"/>
  <c r="E42" i="43"/>
  <c r="E41" i="43"/>
  <c r="E40" i="43"/>
  <c r="E53" i="43"/>
  <c r="E52" i="43"/>
  <c r="E51" i="43"/>
  <c r="E50" i="43"/>
  <c r="E49" i="43"/>
  <c r="E48" i="43"/>
  <c r="E47" i="43"/>
  <c r="E46" i="43"/>
  <c r="E45" i="43"/>
  <c r="E115" i="43"/>
  <c r="E114" i="43"/>
  <c r="E113" i="43"/>
  <c r="E112" i="43"/>
  <c r="E111" i="43"/>
  <c r="E110" i="43"/>
  <c r="E109" i="43"/>
  <c r="E108" i="43"/>
  <c r="E107" i="43"/>
  <c r="E106" i="43"/>
  <c r="E105" i="43"/>
  <c r="E104" i="43"/>
  <c r="E103" i="43"/>
  <c r="E102" i="43"/>
  <c r="E101" i="43"/>
  <c r="E100" i="43"/>
  <c r="E99" i="43"/>
  <c r="E98" i="43"/>
  <c r="E97" i="43"/>
  <c r="E96" i="43"/>
  <c r="E95" i="43"/>
  <c r="E94" i="43"/>
  <c r="E93" i="43"/>
  <c r="E92" i="43"/>
  <c r="E91" i="43"/>
  <c r="E90" i="43"/>
  <c r="E89" i="43"/>
  <c r="E88" i="43"/>
  <c r="E87" i="43"/>
  <c r="E86" i="43"/>
  <c r="E85" i="43"/>
  <c r="E84" i="43"/>
  <c r="E83" i="43"/>
  <c r="E82" i="43"/>
  <c r="E81" i="43"/>
  <c r="E80" i="43"/>
  <c r="E79" i="43"/>
  <c r="E78" i="43"/>
  <c r="E77" i="43"/>
  <c r="E76" i="43"/>
  <c r="E75" i="43"/>
  <c r="E74" i="43"/>
  <c r="E73" i="43"/>
  <c r="E72" i="43"/>
  <c r="E71" i="43"/>
  <c r="E70" i="43"/>
  <c r="E69" i="43"/>
  <c r="E68" i="43"/>
  <c r="E67" i="43"/>
  <c r="E66" i="43"/>
  <c r="E65" i="43"/>
  <c r="E64" i="43"/>
  <c r="E63" i="43"/>
  <c r="E62" i="43"/>
  <c r="E61" i="43"/>
  <c r="E186" i="43"/>
  <c r="E185" i="43"/>
  <c r="E184" i="43"/>
  <c r="E183" i="43"/>
  <c r="E182" i="43"/>
  <c r="E181" i="43"/>
  <c r="E180" i="43"/>
  <c r="E179" i="43"/>
  <c r="E178" i="43"/>
  <c r="E177" i="43"/>
  <c r="E57" i="43"/>
  <c r="E176" i="43"/>
  <c r="E58" i="43"/>
  <c r="E10" i="43"/>
  <c r="E59" i="43"/>
  <c r="E174" i="43"/>
  <c r="E6" i="43"/>
  <c r="E60" i="43"/>
  <c r="E175" i="43"/>
  <c r="E9" i="43"/>
  <c r="E188" i="43"/>
  <c r="E11" i="43"/>
  <c r="E7" i="43"/>
  <c r="E173" i="43"/>
  <c r="F4" i="21"/>
  <c r="F4" i="43"/>
  <c r="F28" i="36"/>
  <c r="F4" i="36"/>
  <c r="F4" i="38"/>
  <c r="A3" i="60"/>
  <c r="A2" i="60"/>
  <c r="F116" i="43" l="1"/>
  <c r="F117" i="43"/>
  <c r="F118" i="43"/>
  <c r="F119" i="43"/>
  <c r="F120" i="43"/>
  <c r="F121" i="43"/>
  <c r="F122" i="43"/>
  <c r="F123" i="43"/>
  <c r="F124" i="43"/>
  <c r="F125" i="43"/>
  <c r="F126" i="43"/>
  <c r="F127" i="43"/>
  <c r="F128" i="43"/>
  <c r="F129" i="43"/>
  <c r="F130" i="43"/>
  <c r="F131" i="43"/>
  <c r="F132" i="43"/>
  <c r="F133" i="43"/>
  <c r="F134" i="43"/>
  <c r="F135" i="43"/>
  <c r="F136" i="43"/>
  <c r="F137" i="43"/>
  <c r="F138" i="43"/>
  <c r="F139" i="43"/>
  <c r="F140" i="43"/>
  <c r="F141" i="43"/>
  <c r="F142" i="43"/>
  <c r="F143" i="43"/>
  <c r="F144" i="43"/>
  <c r="F145" i="43"/>
  <c r="F146" i="43"/>
  <c r="F147" i="43"/>
  <c r="F148" i="43"/>
  <c r="F149" i="43"/>
  <c r="F150" i="43"/>
  <c r="F151" i="43"/>
  <c r="F152" i="43"/>
  <c r="F153" i="43"/>
  <c r="F154" i="43"/>
  <c r="F155" i="43"/>
  <c r="F156" i="43"/>
  <c r="F157" i="43"/>
  <c r="F158" i="43"/>
  <c r="F159" i="43"/>
  <c r="F160" i="43"/>
  <c r="F161" i="43"/>
  <c r="F162" i="43"/>
  <c r="F163" i="43"/>
  <c r="F164" i="43"/>
  <c r="F165" i="43"/>
  <c r="F166" i="43"/>
  <c r="F167" i="43"/>
  <c r="F168" i="43"/>
  <c r="F169" i="43"/>
  <c r="F170" i="43"/>
  <c r="F128" i="38"/>
  <c r="F129" i="38"/>
  <c r="F130" i="38"/>
  <c r="F131" i="38"/>
  <c r="F132" i="38"/>
  <c r="F133" i="38"/>
  <c r="F134" i="38"/>
  <c r="F135" i="38"/>
  <c r="F136" i="38"/>
  <c r="F137" i="38"/>
  <c r="F138" i="38"/>
  <c r="F139" i="38"/>
  <c r="F116" i="38"/>
  <c r="F117" i="38"/>
  <c r="F118" i="38"/>
  <c r="F119" i="38"/>
  <c r="F120" i="38"/>
  <c r="F121" i="38"/>
  <c r="F122" i="38"/>
  <c r="F123" i="38"/>
  <c r="F124" i="38"/>
  <c r="F125" i="38"/>
  <c r="F126" i="38"/>
  <c r="F127" i="38"/>
  <c r="F142" i="38"/>
  <c r="F140" i="38"/>
  <c r="F170" i="38"/>
  <c r="F172" i="38"/>
  <c r="F171" i="38"/>
  <c r="F141" i="38"/>
  <c r="F145" i="38"/>
  <c r="F144" i="38"/>
  <c r="F146" i="38"/>
  <c r="F147" i="38"/>
  <c r="F148" i="38"/>
  <c r="F149" i="38"/>
  <c r="F150" i="38"/>
  <c r="F151" i="38"/>
  <c r="F152" i="38"/>
  <c r="F153" i="38"/>
  <c r="F154" i="38"/>
  <c r="F155" i="38"/>
  <c r="F156" i="38"/>
  <c r="F157" i="38"/>
  <c r="F143" i="38"/>
  <c r="F158" i="38"/>
  <c r="F159" i="38"/>
  <c r="F160" i="38"/>
  <c r="F161" i="38"/>
  <c r="F162" i="38"/>
  <c r="F163" i="38"/>
  <c r="F164" i="38"/>
  <c r="F165" i="38"/>
  <c r="F166" i="38"/>
  <c r="F167" i="38"/>
  <c r="F168" i="38"/>
  <c r="F169" i="38"/>
  <c r="F190" i="38"/>
  <c r="F9" i="38"/>
  <c r="F8" i="38"/>
  <c r="F13" i="38"/>
  <c r="F12" i="38"/>
  <c r="F11" i="38"/>
  <c r="F188" i="38"/>
  <c r="F187" i="38"/>
  <c r="F186" i="38"/>
  <c r="F185" i="38"/>
  <c r="F184" i="38"/>
  <c r="F183" i="38"/>
  <c r="F182" i="38"/>
  <c r="F181" i="38"/>
  <c r="F180" i="38"/>
  <c r="F179" i="38"/>
  <c r="F178" i="38"/>
  <c r="F177" i="38"/>
  <c r="F176" i="38"/>
  <c r="F175"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53" i="38"/>
  <c r="F54" i="38"/>
  <c r="F55" i="38"/>
  <c r="F21" i="38"/>
  <c r="F59" i="38"/>
  <c r="F20" i="38"/>
  <c r="F60" i="38"/>
  <c r="F61" i="38"/>
  <c r="F62" i="38"/>
  <c r="F63" i="38"/>
  <c r="F26" i="38"/>
  <c r="F24" i="38"/>
  <c r="F22" i="38"/>
  <c r="F64" i="38"/>
  <c r="F52" i="38"/>
  <c r="F51" i="38"/>
  <c r="F50" i="38"/>
  <c r="F49" i="38"/>
  <c r="F48" i="38"/>
  <c r="F47" i="38"/>
  <c r="F44" i="38"/>
  <c r="F43" i="38"/>
  <c r="F42" i="38"/>
  <c r="F41" i="38"/>
  <c r="F40" i="38"/>
  <c r="F39" i="38"/>
  <c r="F38" i="38"/>
  <c r="F37" i="38"/>
  <c r="F36" i="38"/>
  <c r="F35" i="38"/>
  <c r="F34" i="38"/>
  <c r="F31" i="38"/>
  <c r="F30" i="38"/>
  <c r="F27" i="38"/>
  <c r="F25" i="38"/>
  <c r="F23" i="38"/>
  <c r="F29" i="43"/>
  <c r="F28" i="43"/>
  <c r="F25" i="43"/>
  <c r="F24" i="43"/>
  <c r="F23" i="43"/>
  <c r="F22" i="43"/>
  <c r="F21" i="43"/>
  <c r="F20" i="43"/>
  <c r="F19" i="43"/>
  <c r="F18" i="43"/>
  <c r="F42" i="43"/>
  <c r="F41" i="43"/>
  <c r="F40" i="43"/>
  <c r="F53" i="43"/>
  <c r="F52" i="43"/>
  <c r="F51" i="43"/>
  <c r="F50" i="43"/>
  <c r="F49" i="43"/>
  <c r="F48" i="43"/>
  <c r="F47" i="43"/>
  <c r="F46" i="43"/>
  <c r="F45"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57" i="43"/>
  <c r="F58" i="43"/>
  <c r="F179" i="43"/>
  <c r="F59" i="43"/>
  <c r="F181" i="43"/>
  <c r="F11" i="43"/>
  <c r="F182" i="43"/>
  <c r="F174" i="43"/>
  <c r="F60" i="43"/>
  <c r="F184" i="43"/>
  <c r="F175" i="43"/>
  <c r="F6" i="43"/>
  <c r="F183" i="43"/>
  <c r="F173" i="43"/>
  <c r="F176" i="43"/>
  <c r="F7" i="43"/>
  <c r="F61" i="43"/>
  <c r="F186" i="43"/>
  <c r="F177" i="43"/>
  <c r="F10" i="43"/>
  <c r="F180" i="43"/>
  <c r="F188" i="43"/>
  <c r="F178" i="43"/>
  <c r="F9" i="43"/>
  <c r="F185" i="43"/>
  <c r="G4" i="43"/>
  <c r="G28" i="36"/>
  <c r="G4" i="21"/>
  <c r="G4" i="36"/>
  <c r="G4" i="38"/>
  <c r="G122" i="38" l="1"/>
  <c r="G123" i="38"/>
  <c r="G124" i="38"/>
  <c r="G125" i="38"/>
  <c r="G126" i="38"/>
  <c r="G127" i="38"/>
  <c r="G128" i="38"/>
  <c r="G129" i="38"/>
  <c r="G130" i="38"/>
  <c r="G131" i="38"/>
  <c r="G132" i="38"/>
  <c r="G133" i="38"/>
  <c r="G140" i="38"/>
  <c r="G141" i="38"/>
  <c r="G142" i="38"/>
  <c r="G143" i="38"/>
  <c r="G144" i="38"/>
  <c r="G116" i="38"/>
  <c r="G117" i="38"/>
  <c r="G118" i="38"/>
  <c r="G119" i="38"/>
  <c r="G120" i="38"/>
  <c r="G121" i="38"/>
  <c r="G134" i="38"/>
  <c r="G135" i="38"/>
  <c r="G170" i="38"/>
  <c r="G136" i="38"/>
  <c r="G137" i="38"/>
  <c r="G145" i="38"/>
  <c r="G171" i="38"/>
  <c r="G146" i="38"/>
  <c r="G147" i="38"/>
  <c r="G148" i="38"/>
  <c r="G149" i="38"/>
  <c r="G150" i="38"/>
  <c r="G151" i="38"/>
  <c r="G138" i="38"/>
  <c r="G152" i="38"/>
  <c r="G153" i="38"/>
  <c r="G154" i="38"/>
  <c r="G155" i="38"/>
  <c r="G156" i="38"/>
  <c r="G157" i="38"/>
  <c r="G158" i="38"/>
  <c r="G159" i="38"/>
  <c r="G160" i="38"/>
  <c r="G161" i="38"/>
  <c r="G162" i="38"/>
  <c r="G163" i="38"/>
  <c r="G172" i="38"/>
  <c r="G139" i="38"/>
  <c r="G164" i="38"/>
  <c r="G165" i="38"/>
  <c r="G166" i="38"/>
  <c r="G167" i="38"/>
  <c r="G168" i="38"/>
  <c r="G169" i="38"/>
  <c r="G116" i="43"/>
  <c r="G117" i="43"/>
  <c r="G118" i="43"/>
  <c r="G119" i="43"/>
  <c r="G120" i="43"/>
  <c r="G121" i="43"/>
  <c r="G122" i="43"/>
  <c r="G123" i="43"/>
  <c r="G124" i="43"/>
  <c r="G125" i="43"/>
  <c r="G126" i="43"/>
  <c r="G127" i="43"/>
  <c r="G128" i="43"/>
  <c r="G129" i="43"/>
  <c r="G130" i="43"/>
  <c r="G131" i="43"/>
  <c r="G132" i="43"/>
  <c r="G133" i="43"/>
  <c r="G134" i="43"/>
  <c r="G135" i="43"/>
  <c r="G136" i="43"/>
  <c r="G137" i="43"/>
  <c r="G138" i="43"/>
  <c r="G139" i="43"/>
  <c r="G140" i="43"/>
  <c r="G141" i="43"/>
  <c r="G142" i="43"/>
  <c r="G143" i="43"/>
  <c r="G144" i="43"/>
  <c r="G145" i="43"/>
  <c r="G146" i="43"/>
  <c r="G147" i="43"/>
  <c r="G148" i="43"/>
  <c r="G149" i="43"/>
  <c r="G150" i="43"/>
  <c r="G151" i="43"/>
  <c r="G152" i="43"/>
  <c r="G153" i="43"/>
  <c r="G154" i="43"/>
  <c r="G155" i="43"/>
  <c r="G156" i="43"/>
  <c r="G157" i="43"/>
  <c r="G158" i="43"/>
  <c r="G159" i="43"/>
  <c r="G160" i="43"/>
  <c r="G161" i="43"/>
  <c r="G162" i="43"/>
  <c r="G163" i="43"/>
  <c r="G164" i="43"/>
  <c r="G165" i="43"/>
  <c r="G166" i="43"/>
  <c r="G167" i="43"/>
  <c r="G168" i="43"/>
  <c r="G169" i="43"/>
  <c r="G170" i="43"/>
  <c r="G190" i="38"/>
  <c r="G9" i="38"/>
  <c r="G8" i="38"/>
  <c r="G13" i="38"/>
  <c r="G12" i="38"/>
  <c r="G11" i="38"/>
  <c r="G188" i="38"/>
  <c r="G187" i="38"/>
  <c r="G186" i="38"/>
  <c r="G185" i="38"/>
  <c r="G184" i="38"/>
  <c r="G183" i="38"/>
  <c r="G182" i="38"/>
  <c r="G181" i="38"/>
  <c r="G180" i="38"/>
  <c r="G179" i="38"/>
  <c r="G178" i="38"/>
  <c r="G177" i="38"/>
  <c r="G176" i="38"/>
  <c r="G175" i="38"/>
  <c r="G115" i="38"/>
  <c r="G114" i="38"/>
  <c r="G113" i="38"/>
  <c r="G112" i="38"/>
  <c r="G111" i="38"/>
  <c r="G110" i="38"/>
  <c r="G109" i="38"/>
  <c r="G108" i="38"/>
  <c r="G107" i="38"/>
  <c r="G106" i="38"/>
  <c r="G105" i="38"/>
  <c r="G104" i="38"/>
  <c r="G103" i="38"/>
  <c r="G102" i="38"/>
  <c r="G101" i="38"/>
  <c r="G100" i="38"/>
  <c r="G99" i="38"/>
  <c r="G98" i="38"/>
  <c r="G97" i="38"/>
  <c r="G96" i="38"/>
  <c r="G95" i="38"/>
  <c r="G94" i="38"/>
  <c r="G93" i="38"/>
  <c r="G92" i="38"/>
  <c r="G91" i="38"/>
  <c r="G90" i="38"/>
  <c r="G89" i="38"/>
  <c r="G88" i="38"/>
  <c r="G87" i="38"/>
  <c r="G86" i="38"/>
  <c r="G85" i="38"/>
  <c r="G84" i="38"/>
  <c r="G83" i="38"/>
  <c r="G82" i="38"/>
  <c r="G81" i="38"/>
  <c r="G80" i="38"/>
  <c r="G79" i="38"/>
  <c r="G78" i="38"/>
  <c r="G77" i="38"/>
  <c r="G76" i="38"/>
  <c r="G75" i="38"/>
  <c r="G74" i="38"/>
  <c r="G73" i="38"/>
  <c r="G72" i="38"/>
  <c r="G71" i="38"/>
  <c r="G70" i="38"/>
  <c r="G69" i="38"/>
  <c r="G68" i="38"/>
  <c r="G67" i="38"/>
  <c r="G66" i="38"/>
  <c r="G65" i="38"/>
  <c r="G54" i="38"/>
  <c r="G55" i="38"/>
  <c r="G59" i="38"/>
  <c r="G60" i="38"/>
  <c r="G61" i="38"/>
  <c r="G62" i="38"/>
  <c r="G63" i="38"/>
  <c r="G64" i="38"/>
  <c r="G52" i="38"/>
  <c r="G51" i="38"/>
  <c r="G50" i="38"/>
  <c r="G49" i="38"/>
  <c r="G48" i="38"/>
  <c r="G47" i="38"/>
  <c r="G44" i="38"/>
  <c r="G43" i="38"/>
  <c r="G42" i="38"/>
  <c r="G41" i="38"/>
  <c r="G40" i="38"/>
  <c r="G39" i="38"/>
  <c r="G38" i="38"/>
  <c r="G37" i="38"/>
  <c r="G36" i="38"/>
  <c r="G35" i="38"/>
  <c r="G34" i="38"/>
  <c r="G31" i="38"/>
  <c r="G30" i="38"/>
  <c r="G27" i="38"/>
  <c r="G26" i="38"/>
  <c r="G25" i="38"/>
  <c r="G24" i="38"/>
  <c r="G23" i="38"/>
  <c r="G22" i="38"/>
  <c r="G21" i="38"/>
  <c r="G20" i="38"/>
  <c r="G53" i="38"/>
  <c r="G29" i="43"/>
  <c r="G28" i="43"/>
  <c r="G25" i="43"/>
  <c r="G24" i="43"/>
  <c r="G23" i="43"/>
  <c r="G22" i="43"/>
  <c r="G21" i="43"/>
  <c r="G20" i="43"/>
  <c r="G19" i="43"/>
  <c r="G18" i="43"/>
  <c r="G42" i="43"/>
  <c r="G41" i="43"/>
  <c r="G40" i="43"/>
  <c r="G53" i="43"/>
  <c r="G52" i="43"/>
  <c r="G51" i="43"/>
  <c r="G50" i="43"/>
  <c r="G49" i="43"/>
  <c r="G48" i="43"/>
  <c r="G47" i="43"/>
  <c r="G46" i="43"/>
  <c r="G45"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72" i="43"/>
  <c r="G71" i="43"/>
  <c r="G70" i="43"/>
  <c r="G69" i="43"/>
  <c r="G68" i="43"/>
  <c r="G67" i="43"/>
  <c r="G66" i="43"/>
  <c r="G65" i="43"/>
  <c r="G64" i="43"/>
  <c r="G63" i="43"/>
  <c r="G62" i="43"/>
  <c r="G61" i="43"/>
  <c r="G60" i="43"/>
  <c r="G59" i="43"/>
  <c r="G58" i="43"/>
  <c r="G6" i="43"/>
  <c r="G57" i="43"/>
  <c r="G186" i="43"/>
  <c r="G185" i="43"/>
  <c r="G184" i="43"/>
  <c r="G183" i="43"/>
  <c r="G182" i="43"/>
  <c r="G181" i="43"/>
  <c r="G180" i="43"/>
  <c r="G179" i="43"/>
  <c r="G178" i="43"/>
  <c r="G177" i="43"/>
  <c r="G176" i="43"/>
  <c r="G175" i="43"/>
  <c r="G174" i="43"/>
  <c r="G173" i="43"/>
  <c r="G188" i="43"/>
  <c r="G11" i="43"/>
  <c r="G10" i="43"/>
  <c r="G9" i="43"/>
  <c r="G7" i="43"/>
  <c r="H4" i="21"/>
  <c r="H4" i="43"/>
  <c r="H28" i="36"/>
  <c r="H4" i="36"/>
  <c r="H4" i="38"/>
  <c r="H160" i="43" l="1"/>
  <c r="H161" i="43"/>
  <c r="H162" i="43"/>
  <c r="H163" i="43"/>
  <c r="H164" i="43"/>
  <c r="H165" i="43"/>
  <c r="H166" i="43"/>
  <c r="H167" i="43"/>
  <c r="H168" i="43"/>
  <c r="H169" i="43"/>
  <c r="H170" i="43"/>
  <c r="H116" i="43"/>
  <c r="H117" i="43"/>
  <c r="H118" i="43"/>
  <c r="H119" i="43"/>
  <c r="H120" i="43"/>
  <c r="H121" i="43"/>
  <c r="H122" i="43"/>
  <c r="H123" i="43"/>
  <c r="H124" i="43"/>
  <c r="H125" i="43"/>
  <c r="H126" i="43"/>
  <c r="H127" i="43"/>
  <c r="H128" i="43"/>
  <c r="H129" i="43"/>
  <c r="H130" i="43"/>
  <c r="H131" i="43"/>
  <c r="H132" i="43"/>
  <c r="H133" i="43"/>
  <c r="H134" i="43"/>
  <c r="H135" i="43"/>
  <c r="H136" i="43"/>
  <c r="H137" i="43"/>
  <c r="H138" i="43"/>
  <c r="H139" i="43"/>
  <c r="H140" i="43"/>
  <c r="H141" i="43"/>
  <c r="H142" i="43"/>
  <c r="H143" i="43"/>
  <c r="H144" i="43"/>
  <c r="H145" i="43"/>
  <c r="H146" i="43"/>
  <c r="H147" i="43"/>
  <c r="H148" i="43"/>
  <c r="H149" i="43"/>
  <c r="H150" i="43"/>
  <c r="H151" i="43"/>
  <c r="H152" i="43"/>
  <c r="H153" i="43"/>
  <c r="H154" i="43"/>
  <c r="H155" i="43"/>
  <c r="H156" i="43"/>
  <c r="H157" i="43"/>
  <c r="H158" i="43"/>
  <c r="H159" i="43"/>
  <c r="H116" i="38"/>
  <c r="H117" i="38"/>
  <c r="H118" i="38"/>
  <c r="H119" i="38"/>
  <c r="H120" i="38"/>
  <c r="H121" i="38"/>
  <c r="H122" i="38"/>
  <c r="H123" i="38"/>
  <c r="H124" i="38"/>
  <c r="H125" i="38"/>
  <c r="H126" i="38"/>
  <c r="H127" i="38"/>
  <c r="H128" i="38"/>
  <c r="H129" i="38"/>
  <c r="H130" i="38"/>
  <c r="H131" i="38"/>
  <c r="H132" i="38"/>
  <c r="H133" i="38"/>
  <c r="H134" i="38"/>
  <c r="H135" i="38"/>
  <c r="H136" i="38"/>
  <c r="H137" i="38"/>
  <c r="H138" i="38"/>
  <c r="H139" i="38"/>
  <c r="H140" i="38"/>
  <c r="H172" i="38"/>
  <c r="H142" i="38"/>
  <c r="H170" i="38"/>
  <c r="H166" i="38"/>
  <c r="H167" i="38"/>
  <c r="H165" i="38"/>
  <c r="H141" i="38"/>
  <c r="H169" i="38"/>
  <c r="H144" i="38"/>
  <c r="H145" i="38"/>
  <c r="H146" i="38"/>
  <c r="H147" i="38"/>
  <c r="H148" i="38"/>
  <c r="H149" i="38"/>
  <c r="H150" i="38"/>
  <c r="H151" i="38"/>
  <c r="H171" i="38"/>
  <c r="H143" i="38"/>
  <c r="H152" i="38"/>
  <c r="H153" i="38"/>
  <c r="H154" i="38"/>
  <c r="H155" i="38"/>
  <c r="H156" i="38"/>
  <c r="H157" i="38"/>
  <c r="H168" i="38"/>
  <c r="H158" i="38"/>
  <c r="H159" i="38"/>
  <c r="H160" i="38"/>
  <c r="H161" i="38"/>
  <c r="H162" i="38"/>
  <c r="H163" i="38"/>
  <c r="H164" i="38"/>
  <c r="H190" i="38"/>
  <c r="H9" i="38"/>
  <c r="H8" i="38"/>
  <c r="H13" i="38"/>
  <c r="H12" i="38"/>
  <c r="H11" i="38"/>
  <c r="H188" i="38"/>
  <c r="H187" i="38"/>
  <c r="H186" i="38"/>
  <c r="H185" i="38"/>
  <c r="H184" i="38"/>
  <c r="H183" i="38"/>
  <c r="H182" i="38"/>
  <c r="H181" i="38"/>
  <c r="H180" i="38"/>
  <c r="H179" i="38"/>
  <c r="H178" i="38"/>
  <c r="H177" i="38"/>
  <c r="H176" i="38"/>
  <c r="H175" i="38"/>
  <c r="H115" i="38"/>
  <c r="H114" i="38"/>
  <c r="H113" i="38"/>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55" i="38"/>
  <c r="H59" i="38"/>
  <c r="H22" i="38"/>
  <c r="H60" i="38"/>
  <c r="H61" i="38"/>
  <c r="H21" i="38"/>
  <c r="H23" i="38"/>
  <c r="H52" i="38"/>
  <c r="H51" i="38"/>
  <c r="H50" i="38"/>
  <c r="H49" i="38"/>
  <c r="H48" i="38"/>
  <c r="H47" i="38"/>
  <c r="H44" i="38"/>
  <c r="H43" i="38"/>
  <c r="H42" i="38"/>
  <c r="H41" i="38"/>
  <c r="H40" i="38"/>
  <c r="H39" i="38"/>
  <c r="H38" i="38"/>
  <c r="H37" i="38"/>
  <c r="H36" i="38"/>
  <c r="H35" i="38"/>
  <c r="H34" i="38"/>
  <c r="H31" i="38"/>
  <c r="H30" i="38"/>
  <c r="H27" i="38"/>
  <c r="H26" i="38"/>
  <c r="H25" i="38"/>
  <c r="H24" i="38"/>
  <c r="H20" i="38"/>
  <c r="H53" i="38"/>
  <c r="H54" i="38"/>
  <c r="H29" i="43"/>
  <c r="H28" i="43"/>
  <c r="H25" i="43"/>
  <c r="H24" i="43"/>
  <c r="H23" i="43"/>
  <c r="H22" i="43"/>
  <c r="H21" i="43"/>
  <c r="H20" i="43"/>
  <c r="H19" i="43"/>
  <c r="H18" i="43"/>
  <c r="H42" i="43"/>
  <c r="H41" i="43"/>
  <c r="H40" i="43"/>
  <c r="H53" i="43"/>
  <c r="H52" i="43"/>
  <c r="H51" i="43"/>
  <c r="H50" i="43"/>
  <c r="H49" i="43"/>
  <c r="H48" i="43"/>
  <c r="H108" i="43"/>
  <c r="H96" i="43"/>
  <c r="H86" i="43"/>
  <c r="H74" i="43"/>
  <c r="H66" i="43"/>
  <c r="H47" i="43"/>
  <c r="H107" i="43"/>
  <c r="H95" i="43"/>
  <c r="H85" i="43"/>
  <c r="H73" i="43"/>
  <c r="H62" i="43"/>
  <c r="H59" i="43"/>
  <c r="H46" i="43"/>
  <c r="H106" i="43"/>
  <c r="H94" i="43"/>
  <c r="H84" i="43"/>
  <c r="H72" i="43"/>
  <c r="H65" i="43"/>
  <c r="H45" i="43"/>
  <c r="H105" i="43"/>
  <c r="H93" i="43"/>
  <c r="H83" i="43"/>
  <c r="H71" i="43"/>
  <c r="H60" i="43"/>
  <c r="H104" i="43"/>
  <c r="H92" i="43"/>
  <c r="H82" i="43"/>
  <c r="H70" i="43"/>
  <c r="H115" i="43"/>
  <c r="H103" i="43"/>
  <c r="H81" i="43"/>
  <c r="H64" i="43"/>
  <c r="H114" i="43"/>
  <c r="H102" i="43"/>
  <c r="H80" i="43"/>
  <c r="H69" i="43"/>
  <c r="H61" i="43"/>
  <c r="H113" i="43"/>
  <c r="H101" i="43"/>
  <c r="H91" i="43"/>
  <c r="H79" i="43"/>
  <c r="H75" i="43"/>
  <c r="H112" i="43"/>
  <c r="H100" i="43"/>
  <c r="H90" i="43"/>
  <c r="H78" i="43"/>
  <c r="H68" i="43"/>
  <c r="H63" i="43"/>
  <c r="H7" i="43"/>
  <c r="H97" i="43"/>
  <c r="H58" i="43"/>
  <c r="H111" i="43"/>
  <c r="H99" i="43"/>
  <c r="H89" i="43"/>
  <c r="H77" i="43"/>
  <c r="H186" i="43"/>
  <c r="H185" i="43"/>
  <c r="H184" i="43"/>
  <c r="H183" i="43"/>
  <c r="H182" i="43"/>
  <c r="H181" i="43"/>
  <c r="H180" i="43"/>
  <c r="H179" i="43"/>
  <c r="H178" i="43"/>
  <c r="H177" i="43"/>
  <c r="H176" i="43"/>
  <c r="H175" i="43"/>
  <c r="H174" i="43"/>
  <c r="H173" i="43"/>
  <c r="H188" i="43"/>
  <c r="H11" i="43"/>
  <c r="H10" i="43"/>
  <c r="H9" i="43"/>
  <c r="H6" i="43"/>
  <c r="H87" i="43"/>
  <c r="H110" i="43"/>
  <c r="H98" i="43"/>
  <c r="H88" i="43"/>
  <c r="H76" i="43"/>
  <c r="H67" i="43"/>
  <c r="H57" i="43"/>
  <c r="H109" i="43"/>
  <c r="I4" i="21"/>
  <c r="I4" i="43"/>
  <c r="I28" i="36"/>
  <c r="I4" i="36"/>
  <c r="I4" i="38"/>
  <c r="I116" i="38" l="1"/>
  <c r="I117" i="38"/>
  <c r="I118" i="38"/>
  <c r="I119" i="38"/>
  <c r="I120" i="38"/>
  <c r="I121" i="38"/>
  <c r="I122" i="38"/>
  <c r="I123" i="38"/>
  <c r="I124" i="38"/>
  <c r="I125" i="38"/>
  <c r="I126" i="38"/>
  <c r="I127" i="38"/>
  <c r="I128" i="38"/>
  <c r="I129" i="38"/>
  <c r="I130" i="38"/>
  <c r="I131" i="38"/>
  <c r="I132" i="38"/>
  <c r="I133" i="38"/>
  <c r="I134" i="38"/>
  <c r="I135" i="38"/>
  <c r="I136" i="38"/>
  <c r="I137" i="38"/>
  <c r="I138" i="38"/>
  <c r="I139" i="38"/>
  <c r="I164" i="38"/>
  <c r="I165" i="38"/>
  <c r="I166" i="38"/>
  <c r="I167" i="38"/>
  <c r="I168" i="38"/>
  <c r="I169" i="38"/>
  <c r="I170" i="38"/>
  <c r="I171" i="38"/>
  <c r="I172" i="38"/>
  <c r="I162" i="38"/>
  <c r="I159" i="38"/>
  <c r="I140" i="38"/>
  <c r="I142" i="38"/>
  <c r="I161" i="38"/>
  <c r="I158" i="38"/>
  <c r="I141" i="38"/>
  <c r="I163" i="38"/>
  <c r="I144" i="38"/>
  <c r="I145" i="38"/>
  <c r="I160" i="38"/>
  <c r="I146" i="38"/>
  <c r="I147" i="38"/>
  <c r="I148" i="38"/>
  <c r="I149" i="38"/>
  <c r="I150" i="38"/>
  <c r="I151" i="38"/>
  <c r="I143" i="38"/>
  <c r="I152" i="38"/>
  <c r="I153" i="38"/>
  <c r="I154" i="38"/>
  <c r="I155" i="38"/>
  <c r="I156" i="38"/>
  <c r="I157" i="38"/>
  <c r="I154" i="43"/>
  <c r="I155" i="43"/>
  <c r="I156" i="43"/>
  <c r="I157" i="43"/>
  <c r="I158" i="43"/>
  <c r="I159" i="43"/>
  <c r="I160" i="43"/>
  <c r="I161" i="43"/>
  <c r="I162" i="43"/>
  <c r="I163" i="43"/>
  <c r="I164" i="43"/>
  <c r="I165" i="43"/>
  <c r="I166" i="43"/>
  <c r="I167" i="43"/>
  <c r="I168" i="43"/>
  <c r="I169" i="43"/>
  <c r="I170"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90" i="38"/>
  <c r="I9" i="38"/>
  <c r="I8" i="38"/>
  <c r="I13" i="38"/>
  <c r="I12" i="38"/>
  <c r="I11" i="38"/>
  <c r="I188" i="38"/>
  <c r="I187" i="38"/>
  <c r="I186" i="38"/>
  <c r="I185" i="38"/>
  <c r="I184" i="38"/>
  <c r="I183" i="38"/>
  <c r="I182" i="38"/>
  <c r="I181" i="38"/>
  <c r="I180" i="38"/>
  <c r="I179" i="38"/>
  <c r="I178" i="38"/>
  <c r="I177" i="38"/>
  <c r="I176" i="38"/>
  <c r="I175" i="38"/>
  <c r="I115" i="38"/>
  <c r="I114" i="38"/>
  <c r="I113" i="38"/>
  <c r="I112" i="38"/>
  <c r="I111" i="38"/>
  <c r="I110" i="38"/>
  <c r="I109" i="38"/>
  <c r="I108" i="38"/>
  <c r="I107" i="38"/>
  <c r="I106" i="38"/>
  <c r="I105" i="38"/>
  <c r="I104" i="38"/>
  <c r="I103" i="38"/>
  <c r="I102" i="38"/>
  <c r="I101" i="38"/>
  <c r="I100" i="38"/>
  <c r="I99" i="38"/>
  <c r="I98" i="38"/>
  <c r="I97" i="38"/>
  <c r="I96" i="38"/>
  <c r="I95" i="38"/>
  <c r="I94" i="38"/>
  <c r="I93" i="38"/>
  <c r="I92" i="38"/>
  <c r="I91" i="38"/>
  <c r="I90" i="38"/>
  <c r="I89" i="38"/>
  <c r="I88" i="38"/>
  <c r="I87" i="38"/>
  <c r="I86" i="38"/>
  <c r="I85" i="38"/>
  <c r="I84" i="38"/>
  <c r="I83" i="38"/>
  <c r="I82" i="38"/>
  <c r="I81" i="38"/>
  <c r="I80" i="38"/>
  <c r="I79" i="38"/>
  <c r="I78" i="38"/>
  <c r="I77" i="38"/>
  <c r="I76" i="38"/>
  <c r="I75" i="38"/>
  <c r="I74" i="38"/>
  <c r="I73" i="38"/>
  <c r="I72" i="38"/>
  <c r="I71" i="38"/>
  <c r="I70" i="38"/>
  <c r="I69" i="38"/>
  <c r="I68" i="38"/>
  <c r="I67" i="38"/>
  <c r="I66" i="38"/>
  <c r="I65" i="38"/>
  <c r="I64" i="38"/>
  <c r="I59" i="38"/>
  <c r="I22" i="38"/>
  <c r="I60" i="38"/>
  <c r="I61" i="38"/>
  <c r="I23" i="38"/>
  <c r="I62" i="38"/>
  <c r="I21" i="38"/>
  <c r="I63" i="38"/>
  <c r="I20" i="38"/>
  <c r="I52" i="38"/>
  <c r="I51" i="38"/>
  <c r="I50" i="38"/>
  <c r="I49" i="38"/>
  <c r="I48" i="38"/>
  <c r="I47" i="38"/>
  <c r="I44" i="38"/>
  <c r="I43" i="38"/>
  <c r="I42" i="38"/>
  <c r="I41" i="38"/>
  <c r="I40" i="38"/>
  <c r="I39" i="38"/>
  <c r="I38" i="38"/>
  <c r="I37" i="38"/>
  <c r="I36" i="38"/>
  <c r="I35" i="38"/>
  <c r="I34" i="38"/>
  <c r="I31" i="38"/>
  <c r="I30" i="38"/>
  <c r="I27" i="38"/>
  <c r="I26" i="38"/>
  <c r="I25" i="38"/>
  <c r="I24" i="38"/>
  <c r="I53" i="38"/>
  <c r="I54" i="38"/>
  <c r="I55" i="38"/>
  <c r="I29" i="43"/>
  <c r="I28" i="43"/>
  <c r="I25" i="43"/>
  <c r="I24" i="43"/>
  <c r="I23" i="43"/>
  <c r="I22" i="43"/>
  <c r="I21" i="43"/>
  <c r="I20" i="43"/>
  <c r="I19" i="43"/>
  <c r="I18" i="43"/>
  <c r="I42" i="43"/>
  <c r="I41" i="43"/>
  <c r="I40" i="43"/>
  <c r="I53" i="43"/>
  <c r="I52" i="43"/>
  <c r="I51" i="43"/>
  <c r="I50" i="43"/>
  <c r="I49" i="43"/>
  <c r="I48" i="43"/>
  <c r="I47" i="43"/>
  <c r="I46" i="43"/>
  <c r="I45" i="43"/>
  <c r="I115" i="43"/>
  <c r="I114" i="43"/>
  <c r="I113" i="43"/>
  <c r="I112" i="43"/>
  <c r="I111" i="43"/>
  <c r="I110" i="43"/>
  <c r="I109" i="43"/>
  <c r="I108" i="43"/>
  <c r="I107"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59" i="43"/>
  <c r="I60" i="43"/>
  <c r="I9" i="43"/>
  <c r="I6" i="43"/>
  <c r="I186" i="43"/>
  <c r="I185" i="43"/>
  <c r="I184" i="43"/>
  <c r="I183" i="43"/>
  <c r="I182" i="43"/>
  <c r="I181" i="43"/>
  <c r="I180" i="43"/>
  <c r="I179" i="43"/>
  <c r="I178" i="43"/>
  <c r="I177" i="43"/>
  <c r="I176" i="43"/>
  <c r="I175" i="43"/>
  <c r="I174" i="43"/>
  <c r="I173" i="43"/>
  <c r="I188" i="43"/>
  <c r="I11" i="43"/>
  <c r="I10" i="43"/>
  <c r="I7" i="43"/>
  <c r="I57" i="43"/>
  <c r="I58" i="43"/>
  <c r="J4" i="21"/>
  <c r="J4" i="43"/>
  <c r="J28" i="36"/>
  <c r="J4" i="36"/>
  <c r="J4" i="38"/>
  <c r="J116" i="38" l="1"/>
  <c r="J117" i="38"/>
  <c r="J118" i="38"/>
  <c r="J119" i="38"/>
  <c r="J120" i="38"/>
  <c r="J121" i="38"/>
  <c r="J122" i="38"/>
  <c r="J123" i="38"/>
  <c r="J124" i="38"/>
  <c r="J125" i="38"/>
  <c r="J126" i="38"/>
  <c r="J127" i="38"/>
  <c r="J128" i="38"/>
  <c r="J129" i="38"/>
  <c r="J130" i="38"/>
  <c r="J131" i="38"/>
  <c r="J132" i="38"/>
  <c r="J133" i="38"/>
  <c r="J134" i="38"/>
  <c r="J135" i="38"/>
  <c r="J136" i="38"/>
  <c r="J137" i="38"/>
  <c r="J138" i="38"/>
  <c r="J140" i="38"/>
  <c r="J141" i="38"/>
  <c r="J142" i="38"/>
  <c r="J143" i="38"/>
  <c r="J158" i="38"/>
  <c r="J159" i="38"/>
  <c r="J160" i="38"/>
  <c r="J161" i="38"/>
  <c r="J162" i="38"/>
  <c r="J163" i="38"/>
  <c r="J172" i="38"/>
  <c r="J164" i="38"/>
  <c r="J165" i="38"/>
  <c r="J166" i="38"/>
  <c r="J167" i="38"/>
  <c r="J168" i="38"/>
  <c r="J169" i="38"/>
  <c r="J170" i="38"/>
  <c r="J171" i="38"/>
  <c r="J153" i="38"/>
  <c r="J156" i="38"/>
  <c r="J155" i="38"/>
  <c r="J154" i="38"/>
  <c r="J144" i="38"/>
  <c r="J145" i="38"/>
  <c r="J157" i="38"/>
  <c r="J146" i="38"/>
  <c r="J147" i="38"/>
  <c r="J148" i="38"/>
  <c r="J149" i="38"/>
  <c r="J150" i="38"/>
  <c r="J151" i="38"/>
  <c r="J139" i="38"/>
  <c r="J152" i="38"/>
  <c r="J148" i="43"/>
  <c r="J149" i="43"/>
  <c r="J150" i="43"/>
  <c r="J151" i="43"/>
  <c r="J152" i="43"/>
  <c r="J153" i="43"/>
  <c r="J154" i="43"/>
  <c r="J155" i="43"/>
  <c r="J156" i="43"/>
  <c r="J157" i="43"/>
  <c r="J158" i="43"/>
  <c r="J159" i="43"/>
  <c r="J160" i="43"/>
  <c r="J161" i="43"/>
  <c r="J162" i="43"/>
  <c r="J163" i="43"/>
  <c r="J164" i="43"/>
  <c r="J165" i="43"/>
  <c r="J166" i="43"/>
  <c r="J167" i="43"/>
  <c r="J168" i="43"/>
  <c r="J169" i="43"/>
  <c r="J170" i="43"/>
  <c r="J116" i="43"/>
  <c r="J117" i="43"/>
  <c r="J118" i="43"/>
  <c r="J119" i="43"/>
  <c r="J120" i="43"/>
  <c r="J121" i="43"/>
  <c r="J122" i="43"/>
  <c r="J123" i="43"/>
  <c r="J124" i="43"/>
  <c r="J125" i="43"/>
  <c r="J126" i="43"/>
  <c r="J127" i="43"/>
  <c r="J128" i="43"/>
  <c r="J129" i="43"/>
  <c r="J130" i="43"/>
  <c r="J131" i="43"/>
  <c r="J132" i="43"/>
  <c r="J133" i="43"/>
  <c r="J134" i="43"/>
  <c r="J135" i="43"/>
  <c r="J136" i="43"/>
  <c r="J137" i="43"/>
  <c r="J138" i="43"/>
  <c r="J139" i="43"/>
  <c r="J140" i="43"/>
  <c r="J141" i="43"/>
  <c r="J142" i="43"/>
  <c r="J143" i="43"/>
  <c r="J144" i="43"/>
  <c r="J145" i="43"/>
  <c r="J146" i="43"/>
  <c r="J147" i="43"/>
  <c r="J190" i="38"/>
  <c r="J9" i="38"/>
  <c r="J8" i="38"/>
  <c r="J13" i="38"/>
  <c r="J12" i="38"/>
  <c r="J11" i="38"/>
  <c r="J188" i="38"/>
  <c r="J187" i="38"/>
  <c r="J186" i="38"/>
  <c r="J185" i="38"/>
  <c r="J184" i="38"/>
  <c r="J183" i="38"/>
  <c r="J182" i="38"/>
  <c r="J181" i="38"/>
  <c r="J180" i="38"/>
  <c r="J179" i="38"/>
  <c r="J178" i="38"/>
  <c r="J177" i="38"/>
  <c r="J176" i="38"/>
  <c r="J175" i="38"/>
  <c r="J115" i="38"/>
  <c r="J114" i="38"/>
  <c r="J113" i="38"/>
  <c r="J112" i="38"/>
  <c r="J111" i="38"/>
  <c r="J110" i="38"/>
  <c r="J109" i="38"/>
  <c r="J108" i="38"/>
  <c r="J107" i="38"/>
  <c r="J106" i="38"/>
  <c r="J105" i="38"/>
  <c r="J104" i="38"/>
  <c r="J103" i="38"/>
  <c r="J102" i="38"/>
  <c r="J101" i="38"/>
  <c r="J100" i="38"/>
  <c r="J99" i="38"/>
  <c r="J98" i="38"/>
  <c r="J97" i="38"/>
  <c r="J96" i="38"/>
  <c r="J95" i="38"/>
  <c r="J94" i="38"/>
  <c r="J93" i="38"/>
  <c r="J92" i="38"/>
  <c r="J91" i="38"/>
  <c r="J90" i="38"/>
  <c r="J89" i="38"/>
  <c r="J88" i="38"/>
  <c r="J87" i="38"/>
  <c r="J86" i="38"/>
  <c r="J85" i="38"/>
  <c r="J84" i="38"/>
  <c r="J83" i="38"/>
  <c r="J82" i="38"/>
  <c r="J81" i="38"/>
  <c r="J80" i="38"/>
  <c r="J79" i="38"/>
  <c r="J78" i="38"/>
  <c r="J77" i="38"/>
  <c r="J76" i="38"/>
  <c r="J75" i="38"/>
  <c r="J74" i="38"/>
  <c r="J73" i="38"/>
  <c r="J72" i="38"/>
  <c r="J71" i="38"/>
  <c r="J70" i="38"/>
  <c r="J69" i="38"/>
  <c r="J68" i="38"/>
  <c r="J67" i="38"/>
  <c r="J60" i="38"/>
  <c r="J37" i="38"/>
  <c r="J26" i="38"/>
  <c r="J61" i="38"/>
  <c r="J40" i="38"/>
  <c r="J31" i="38"/>
  <c r="J22" i="38"/>
  <c r="J38" i="38"/>
  <c r="J27" i="38"/>
  <c r="J20" i="38"/>
  <c r="J62" i="38"/>
  <c r="J36" i="38"/>
  <c r="J25" i="38"/>
  <c r="J66" i="38"/>
  <c r="J39" i="38"/>
  <c r="J30" i="38"/>
  <c r="J21" i="38"/>
  <c r="J63" i="38"/>
  <c r="J42" i="38"/>
  <c r="J35" i="38"/>
  <c r="J24" i="38"/>
  <c r="J65" i="38"/>
  <c r="J43" i="38"/>
  <c r="J41" i="38"/>
  <c r="J34" i="38"/>
  <c r="J23" i="38"/>
  <c r="J52" i="38"/>
  <c r="J51" i="38"/>
  <c r="J50" i="38"/>
  <c r="J49" i="38"/>
  <c r="J48" i="38"/>
  <c r="J47" i="38"/>
  <c r="J44" i="38"/>
  <c r="J53" i="38"/>
  <c r="J64" i="38"/>
  <c r="J54" i="38"/>
  <c r="J55" i="38"/>
  <c r="J59" i="38"/>
  <c r="J29" i="43"/>
  <c r="J28" i="43"/>
  <c r="J25" i="43"/>
  <c r="J24" i="43"/>
  <c r="J23" i="43"/>
  <c r="J22" i="43"/>
  <c r="J21" i="43"/>
  <c r="J20" i="43"/>
  <c r="J19" i="43"/>
  <c r="J18" i="43"/>
  <c r="J42" i="43"/>
  <c r="J41" i="43"/>
  <c r="J40" i="43"/>
  <c r="J53" i="43"/>
  <c r="J52" i="43"/>
  <c r="J51" i="43"/>
  <c r="J50" i="43"/>
  <c r="J49" i="43"/>
  <c r="J48" i="43"/>
  <c r="J47" i="43"/>
  <c r="J46" i="43"/>
  <c r="J45" i="43"/>
  <c r="J115" i="43"/>
  <c r="J114" i="43"/>
  <c r="J113" i="43"/>
  <c r="J112" i="43"/>
  <c r="J111" i="43"/>
  <c r="J110" i="43"/>
  <c r="J109" i="43"/>
  <c r="J108" i="43"/>
  <c r="J107" i="43"/>
  <c r="J106" i="43"/>
  <c r="J105" i="43"/>
  <c r="J104" i="43"/>
  <c r="J103" i="43"/>
  <c r="J102" i="43"/>
  <c r="J101" i="43"/>
  <c r="J100" i="43"/>
  <c r="J99" i="43"/>
  <c r="J98" i="43"/>
  <c r="J97" i="43"/>
  <c r="J96" i="43"/>
  <c r="J95" i="43"/>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0" i="43"/>
  <c r="J61" i="43"/>
  <c r="J186" i="43"/>
  <c r="J185" i="43"/>
  <c r="J184" i="43"/>
  <c r="J183" i="43"/>
  <c r="J182" i="43"/>
  <c r="J181" i="43"/>
  <c r="J180" i="43"/>
  <c r="J179" i="43"/>
  <c r="J178" i="43"/>
  <c r="J177" i="43"/>
  <c r="J176" i="43"/>
  <c r="J175" i="43"/>
  <c r="J174" i="43"/>
  <c r="J173" i="43"/>
  <c r="J188" i="43"/>
  <c r="J11" i="43"/>
  <c r="J10" i="43"/>
  <c r="J9" i="43"/>
  <c r="J7" i="43"/>
  <c r="J6" i="43"/>
  <c r="J57" i="43"/>
  <c r="J58" i="43"/>
  <c r="J59" i="43"/>
  <c r="K28" i="36"/>
  <c r="K4" i="21"/>
  <c r="K4" i="43"/>
  <c r="K4" i="36"/>
  <c r="K4" i="38"/>
  <c r="K116" i="38" l="1"/>
  <c r="K117" i="38"/>
  <c r="K118" i="38"/>
  <c r="K119" i="38"/>
  <c r="K120" i="38"/>
  <c r="K121" i="38"/>
  <c r="K122" i="38"/>
  <c r="K123" i="38"/>
  <c r="K124" i="38"/>
  <c r="K125" i="38"/>
  <c r="K126" i="38"/>
  <c r="K127" i="38"/>
  <c r="K128" i="38"/>
  <c r="K129" i="38"/>
  <c r="K130" i="38"/>
  <c r="K131" i="38"/>
  <c r="K132" i="38"/>
  <c r="K133" i="38"/>
  <c r="K134" i="38"/>
  <c r="K135" i="38"/>
  <c r="K136" i="38"/>
  <c r="K137" i="38"/>
  <c r="K138" i="38"/>
  <c r="K139" i="38"/>
  <c r="K140" i="38"/>
  <c r="K141" i="38"/>
  <c r="K142" i="38"/>
  <c r="K152" i="38"/>
  <c r="K153" i="38"/>
  <c r="K154" i="38"/>
  <c r="K155" i="38"/>
  <c r="K156" i="38"/>
  <c r="K157" i="38"/>
  <c r="K158" i="38"/>
  <c r="K159" i="38"/>
  <c r="K160" i="38"/>
  <c r="K161" i="38"/>
  <c r="K162" i="38"/>
  <c r="K163" i="38"/>
  <c r="K164" i="38"/>
  <c r="K165" i="38"/>
  <c r="K166" i="38"/>
  <c r="K167" i="38"/>
  <c r="K168" i="38"/>
  <c r="K169" i="38"/>
  <c r="K170" i="38"/>
  <c r="K171" i="38"/>
  <c r="K172" i="38"/>
  <c r="K146" i="38"/>
  <c r="K150" i="38"/>
  <c r="K148" i="38"/>
  <c r="K143" i="38"/>
  <c r="K151" i="38"/>
  <c r="K149" i="38"/>
  <c r="K147" i="38"/>
  <c r="K144" i="38"/>
  <c r="K145" i="38"/>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90" i="38"/>
  <c r="K9" i="38"/>
  <c r="K8" i="38"/>
  <c r="K13" i="38"/>
  <c r="K12" i="38"/>
  <c r="K11" i="38"/>
  <c r="K188" i="38"/>
  <c r="K187" i="38"/>
  <c r="K186" i="38"/>
  <c r="K185" i="38"/>
  <c r="K184" i="38"/>
  <c r="K183" i="38"/>
  <c r="K182" i="38"/>
  <c r="K181" i="38"/>
  <c r="K180" i="38"/>
  <c r="K179" i="38"/>
  <c r="K178" i="38"/>
  <c r="K177" i="38"/>
  <c r="K176" i="38"/>
  <c r="K175"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2" i="38"/>
  <c r="K81" i="38"/>
  <c r="K80" i="38"/>
  <c r="K79" i="38"/>
  <c r="K78" i="38"/>
  <c r="K77" i="38"/>
  <c r="K76" i="38"/>
  <c r="K75" i="38"/>
  <c r="K74" i="38"/>
  <c r="K73" i="38"/>
  <c r="K72" i="38"/>
  <c r="K71" i="38"/>
  <c r="K70" i="38"/>
  <c r="K69" i="38"/>
  <c r="K68" i="38"/>
  <c r="K67" i="38"/>
  <c r="K66" i="38"/>
  <c r="K65" i="38"/>
  <c r="K64" i="38"/>
  <c r="K61" i="38"/>
  <c r="K62" i="38"/>
  <c r="K63" i="38"/>
  <c r="K52" i="38"/>
  <c r="K51" i="38"/>
  <c r="K50" i="38"/>
  <c r="K49" i="38"/>
  <c r="K48" i="38"/>
  <c r="K47" i="38"/>
  <c r="K44" i="38"/>
  <c r="K43" i="38"/>
  <c r="K42" i="38"/>
  <c r="K41" i="38"/>
  <c r="K40" i="38"/>
  <c r="K39" i="38"/>
  <c r="K38" i="38"/>
  <c r="K37" i="38"/>
  <c r="K36" i="38"/>
  <c r="K35" i="38"/>
  <c r="K34" i="38"/>
  <c r="K31" i="38"/>
  <c r="K30" i="38"/>
  <c r="K27" i="38"/>
  <c r="K26" i="38"/>
  <c r="K25" i="38"/>
  <c r="K24" i="38"/>
  <c r="K23" i="38"/>
  <c r="K22" i="38"/>
  <c r="K21" i="38"/>
  <c r="K20" i="38"/>
  <c r="K53" i="38"/>
  <c r="K54" i="38"/>
  <c r="K55" i="38"/>
  <c r="K59" i="38"/>
  <c r="K60" i="38"/>
  <c r="K29" i="43"/>
  <c r="K28" i="43"/>
  <c r="K25" i="43"/>
  <c r="K24" i="43"/>
  <c r="K23" i="43"/>
  <c r="K22" i="43"/>
  <c r="K21" i="43"/>
  <c r="K20" i="43"/>
  <c r="K19" i="43"/>
  <c r="K18" i="43"/>
  <c r="K42" i="43"/>
  <c r="K41" i="43"/>
  <c r="K40" i="43"/>
  <c r="K53" i="43"/>
  <c r="K52" i="43"/>
  <c r="K51" i="43"/>
  <c r="K50" i="43"/>
  <c r="K49" i="43"/>
  <c r="K48" i="43"/>
  <c r="K47" i="43"/>
  <c r="K46" i="43"/>
  <c r="K45"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186" i="43"/>
  <c r="K185" i="43"/>
  <c r="K184" i="43"/>
  <c r="K183" i="43"/>
  <c r="K182" i="43"/>
  <c r="K181" i="43"/>
  <c r="K180" i="43"/>
  <c r="K179" i="43"/>
  <c r="K178" i="43"/>
  <c r="K177" i="43"/>
  <c r="K176" i="43"/>
  <c r="K175" i="43"/>
  <c r="K174" i="43"/>
  <c r="K173" i="43"/>
  <c r="K188" i="43"/>
  <c r="K11" i="43"/>
  <c r="K10" i="43"/>
  <c r="K9" i="43"/>
  <c r="K7" i="43"/>
  <c r="K6" i="43"/>
  <c r="K57" i="43"/>
  <c r="K58" i="43"/>
  <c r="K59" i="43"/>
  <c r="L4" i="21"/>
  <c r="L4" i="43"/>
  <c r="L28" i="36"/>
  <c r="L4" i="36"/>
  <c r="L4" i="38"/>
  <c r="L116" i="38" l="1"/>
  <c r="L117" i="38"/>
  <c r="L118" i="38"/>
  <c r="L119" i="38"/>
  <c r="L120" i="38"/>
  <c r="L121" i="38"/>
  <c r="L122" i="38"/>
  <c r="L123" i="38"/>
  <c r="L124" i="38"/>
  <c r="L125" i="38"/>
  <c r="L126" i="38"/>
  <c r="L127" i="38"/>
  <c r="L128" i="38"/>
  <c r="L129" i="38"/>
  <c r="L130" i="38"/>
  <c r="L131" i="38"/>
  <c r="L132" i="38"/>
  <c r="L133" i="38"/>
  <c r="L134" i="38"/>
  <c r="L135" i="38"/>
  <c r="L136" i="38"/>
  <c r="L137" i="38"/>
  <c r="L138" i="38"/>
  <c r="L139" i="38"/>
  <c r="L140" i="38"/>
  <c r="L141" i="38"/>
  <c r="L143" i="38"/>
  <c r="L146" i="38"/>
  <c r="L147" i="38"/>
  <c r="L148" i="38"/>
  <c r="L149" i="38"/>
  <c r="L150" i="38"/>
  <c r="L151" i="38"/>
  <c r="L152" i="38"/>
  <c r="L153" i="38"/>
  <c r="L154" i="38"/>
  <c r="L155" i="38"/>
  <c r="L156" i="38"/>
  <c r="L157" i="38"/>
  <c r="L158" i="38"/>
  <c r="L159" i="38"/>
  <c r="L160" i="38"/>
  <c r="L161" i="38"/>
  <c r="L162" i="38"/>
  <c r="L163" i="38"/>
  <c r="L164" i="38"/>
  <c r="L165" i="38"/>
  <c r="L167" i="38"/>
  <c r="L169" i="38"/>
  <c r="L170" i="38"/>
  <c r="L172" i="38"/>
  <c r="L145" i="38"/>
  <c r="L142" i="38"/>
  <c r="L166" i="38"/>
  <c r="L168" i="38"/>
  <c r="L171" i="38"/>
  <c r="L144" i="38"/>
  <c r="L136" i="43"/>
  <c r="L137" i="43"/>
  <c r="L138" i="43"/>
  <c r="L139" i="43"/>
  <c r="L140" i="43"/>
  <c r="L141" i="43"/>
  <c r="L142" i="43"/>
  <c r="L143" i="43"/>
  <c r="L144" i="43"/>
  <c r="L145" i="43"/>
  <c r="L146" i="43"/>
  <c r="L147" i="43"/>
  <c r="L148" i="43"/>
  <c r="L149" i="43"/>
  <c r="L150" i="43"/>
  <c r="L151" i="43"/>
  <c r="L152" i="43"/>
  <c r="L153" i="43"/>
  <c r="L154" i="43"/>
  <c r="L155" i="43"/>
  <c r="L156" i="43"/>
  <c r="L157" i="43"/>
  <c r="L158" i="43"/>
  <c r="L159" i="43"/>
  <c r="L160" i="43"/>
  <c r="L161" i="43"/>
  <c r="L162" i="43"/>
  <c r="L163" i="43"/>
  <c r="L164" i="43"/>
  <c r="L165" i="43"/>
  <c r="L166" i="43"/>
  <c r="L167" i="43"/>
  <c r="L168" i="43"/>
  <c r="L169" i="43"/>
  <c r="L170" i="43"/>
  <c r="L116" i="43"/>
  <c r="L117" i="43"/>
  <c r="L118" i="43"/>
  <c r="L119" i="43"/>
  <c r="L120" i="43"/>
  <c r="L121" i="43"/>
  <c r="L122" i="43"/>
  <c r="L123" i="43"/>
  <c r="L124" i="43"/>
  <c r="L125" i="43"/>
  <c r="L126" i="43"/>
  <c r="L127" i="43"/>
  <c r="L128" i="43"/>
  <c r="L129" i="43"/>
  <c r="L130" i="43"/>
  <c r="L131" i="43"/>
  <c r="L132" i="43"/>
  <c r="L133" i="43"/>
  <c r="L134" i="43"/>
  <c r="L135" i="43"/>
  <c r="L190" i="38"/>
  <c r="L9" i="38"/>
  <c r="L8" i="38"/>
  <c r="L13" i="38"/>
  <c r="L12" i="38"/>
  <c r="L11" i="38"/>
  <c r="L188" i="38"/>
  <c r="L187" i="38"/>
  <c r="L186" i="38"/>
  <c r="L185" i="38"/>
  <c r="L184" i="38"/>
  <c r="L183" i="38"/>
  <c r="L182" i="38"/>
  <c r="L181" i="38"/>
  <c r="L180" i="38"/>
  <c r="L179" i="38"/>
  <c r="L178" i="38"/>
  <c r="L177" i="38"/>
  <c r="L176" i="38"/>
  <c r="L175" i="38"/>
  <c r="L115" i="38"/>
  <c r="L114" i="38"/>
  <c r="L113" i="38"/>
  <c r="L112" i="38"/>
  <c r="L111" i="38"/>
  <c r="L110" i="38"/>
  <c r="L109" i="38"/>
  <c r="L108" i="38"/>
  <c r="L107" i="38"/>
  <c r="L106" i="38"/>
  <c r="L105" i="38"/>
  <c r="L104" i="38"/>
  <c r="L103" i="38"/>
  <c r="L102" i="38"/>
  <c r="L101" i="38"/>
  <c r="L100" i="38"/>
  <c r="L99" i="38"/>
  <c r="L98" i="38"/>
  <c r="L97" i="38"/>
  <c r="L96" i="38"/>
  <c r="L95" i="38"/>
  <c r="L94" i="38"/>
  <c r="L93" i="38"/>
  <c r="L92" i="38"/>
  <c r="L91" i="38"/>
  <c r="L90" i="38"/>
  <c r="L89" i="38"/>
  <c r="L88" i="38"/>
  <c r="L87" i="38"/>
  <c r="L86" i="38"/>
  <c r="L85" i="38"/>
  <c r="L84" i="38"/>
  <c r="L83" i="38"/>
  <c r="L82" i="38"/>
  <c r="L81" i="38"/>
  <c r="L80" i="38"/>
  <c r="L79" i="38"/>
  <c r="L78" i="38"/>
  <c r="L77" i="38"/>
  <c r="L76" i="38"/>
  <c r="L75" i="38"/>
  <c r="L74" i="38"/>
  <c r="L73" i="38"/>
  <c r="L72" i="38"/>
  <c r="L71" i="38"/>
  <c r="L70" i="38"/>
  <c r="L69" i="38"/>
  <c r="L68" i="38"/>
  <c r="L67" i="38"/>
  <c r="L66" i="38"/>
  <c r="L65" i="38"/>
  <c r="L64" i="38"/>
  <c r="L62" i="38"/>
  <c r="L23" i="38"/>
  <c r="L21" i="38"/>
  <c r="L63" i="38"/>
  <c r="L20" i="38"/>
  <c r="L22" i="38"/>
  <c r="L52" i="38"/>
  <c r="L51" i="38"/>
  <c r="L50" i="38"/>
  <c r="L49" i="38"/>
  <c r="L48" i="38"/>
  <c r="L47" i="38"/>
  <c r="L44" i="38"/>
  <c r="L43" i="38"/>
  <c r="L42" i="38"/>
  <c r="L41" i="38"/>
  <c r="L40" i="38"/>
  <c r="L39" i="38"/>
  <c r="L38" i="38"/>
  <c r="L37" i="38"/>
  <c r="L36" i="38"/>
  <c r="L35" i="38"/>
  <c r="L34" i="38"/>
  <c r="L31" i="38"/>
  <c r="L30" i="38"/>
  <c r="L27" i="38"/>
  <c r="L26" i="38"/>
  <c r="L25" i="38"/>
  <c r="L24" i="38"/>
  <c r="L53" i="38"/>
  <c r="L54" i="38"/>
  <c r="L55" i="38"/>
  <c r="L59" i="38"/>
  <c r="L60" i="38"/>
  <c r="L61" i="38"/>
  <c r="L29" i="43"/>
  <c r="L28" i="43"/>
  <c r="L25" i="43"/>
  <c r="L24" i="43"/>
  <c r="L23" i="43"/>
  <c r="L22" i="43"/>
  <c r="L21" i="43"/>
  <c r="L20" i="43"/>
  <c r="L19" i="43"/>
  <c r="L18" i="43"/>
  <c r="L42" i="43"/>
  <c r="L41" i="43"/>
  <c r="L40" i="43"/>
  <c r="L53" i="43"/>
  <c r="L52" i="43"/>
  <c r="L51" i="43"/>
  <c r="L50" i="43"/>
  <c r="L49" i="43"/>
  <c r="L48" i="43"/>
  <c r="L47" i="43"/>
  <c r="L46" i="43"/>
  <c r="L45" i="43"/>
  <c r="L115" i="43"/>
  <c r="L114" i="43"/>
  <c r="L113" i="43"/>
  <c r="L112" i="43"/>
  <c r="L111" i="43"/>
  <c r="L110" i="43"/>
  <c r="L109" i="43"/>
  <c r="L108" i="43"/>
  <c r="L107" i="43"/>
  <c r="L106" i="43"/>
  <c r="L105" i="43"/>
  <c r="L104" i="43"/>
  <c r="L103" i="43"/>
  <c r="L102" i="43"/>
  <c r="L101" i="43"/>
  <c r="L100" i="43"/>
  <c r="L99" i="43"/>
  <c r="L98" i="43"/>
  <c r="L97" i="43"/>
  <c r="L96" i="43"/>
  <c r="L95" i="43"/>
  <c r="L94" i="43"/>
  <c r="L93" i="43"/>
  <c r="L92" i="43"/>
  <c r="L91" i="43"/>
  <c r="L90" i="43"/>
  <c r="L89" i="43"/>
  <c r="L88" i="43"/>
  <c r="L87" i="43"/>
  <c r="L86" i="43"/>
  <c r="L85" i="43"/>
  <c r="L84" i="43"/>
  <c r="L83" i="43"/>
  <c r="L82" i="43"/>
  <c r="L81" i="43"/>
  <c r="L80" i="43"/>
  <c r="L79" i="43"/>
  <c r="L78" i="43"/>
  <c r="L77" i="43"/>
  <c r="L76" i="43"/>
  <c r="L75" i="43"/>
  <c r="L74" i="43"/>
  <c r="L73" i="43"/>
  <c r="L72" i="43"/>
  <c r="L71" i="43"/>
  <c r="L70" i="43"/>
  <c r="L69" i="43"/>
  <c r="L68" i="43"/>
  <c r="L67" i="43"/>
  <c r="L66" i="43"/>
  <c r="L65" i="43"/>
  <c r="L64" i="43"/>
  <c r="L63" i="43"/>
  <c r="L62" i="43"/>
  <c r="L61" i="43"/>
  <c r="L60" i="43"/>
  <c r="L59" i="43"/>
  <c r="L58" i="43"/>
  <c r="L57" i="43"/>
  <c r="L186" i="43"/>
  <c r="L185" i="43"/>
  <c r="L184" i="43"/>
  <c r="L183" i="43"/>
  <c r="L182" i="43"/>
  <c r="L181" i="43"/>
  <c r="L180" i="43"/>
  <c r="L179" i="43"/>
  <c r="L178" i="43"/>
  <c r="L177" i="43"/>
  <c r="L176" i="43"/>
  <c r="L175" i="43"/>
  <c r="L174" i="43"/>
  <c r="L173" i="43"/>
  <c r="L188" i="43"/>
  <c r="L11" i="43"/>
  <c r="L10" i="43"/>
  <c r="L9" i="43"/>
  <c r="L7" i="43"/>
  <c r="L6" i="43"/>
  <c r="M4" i="21"/>
  <c r="M4" i="43"/>
  <c r="M28" i="36"/>
  <c r="M4" i="36"/>
  <c r="M4" i="38"/>
  <c r="M116" i="38" l="1"/>
  <c r="M117" i="38"/>
  <c r="M118" i="38"/>
  <c r="M119" i="38"/>
  <c r="M120" i="38"/>
  <c r="M121" i="38"/>
  <c r="M122" i="38"/>
  <c r="M123" i="38"/>
  <c r="M124" i="38"/>
  <c r="M125" i="38"/>
  <c r="M126" i="38"/>
  <c r="M127" i="38"/>
  <c r="M128" i="38"/>
  <c r="M129" i="38"/>
  <c r="M130" i="38"/>
  <c r="M131" i="38"/>
  <c r="M132" i="38"/>
  <c r="M133" i="38"/>
  <c r="M134" i="38"/>
  <c r="M135" i="38"/>
  <c r="M136" i="38"/>
  <c r="M137" i="38"/>
  <c r="M138" i="38"/>
  <c r="M139" i="38"/>
  <c r="M144" i="38"/>
  <c r="M145" i="38"/>
  <c r="M143" i="38"/>
  <c r="M146" i="38"/>
  <c r="M147" i="38"/>
  <c r="M148" i="38"/>
  <c r="M149" i="38"/>
  <c r="M150" i="38"/>
  <c r="M151" i="38"/>
  <c r="M152" i="38"/>
  <c r="M153" i="38"/>
  <c r="M154" i="38"/>
  <c r="M155" i="38"/>
  <c r="M156" i="38"/>
  <c r="M157" i="38"/>
  <c r="M162" i="38"/>
  <c r="M168" i="38"/>
  <c r="M170" i="38"/>
  <c r="M172" i="38"/>
  <c r="M140" i="38"/>
  <c r="M158" i="38"/>
  <c r="M159" i="38"/>
  <c r="M160" i="38"/>
  <c r="M161" i="38"/>
  <c r="M163" i="38"/>
  <c r="M167" i="38"/>
  <c r="M171" i="38"/>
  <c r="M142" i="38"/>
  <c r="M164" i="38"/>
  <c r="M165" i="38"/>
  <c r="M166" i="38"/>
  <c r="M169" i="38"/>
  <c r="M141" i="38"/>
  <c r="M130" i="43"/>
  <c r="M131" i="43"/>
  <c r="M132" i="43"/>
  <c r="M133" i="43"/>
  <c r="M134" i="43"/>
  <c r="M135" i="43"/>
  <c r="M136" i="43"/>
  <c r="M137" i="43"/>
  <c r="M138" i="43"/>
  <c r="M139" i="43"/>
  <c r="M140" i="43"/>
  <c r="M141" i="43"/>
  <c r="M142" i="43"/>
  <c r="M143" i="43"/>
  <c r="M144" i="43"/>
  <c r="M145" i="43"/>
  <c r="M146" i="43"/>
  <c r="M147" i="43"/>
  <c r="M148" i="43"/>
  <c r="M149" i="43"/>
  <c r="M150" i="43"/>
  <c r="M151" i="43"/>
  <c r="M152" i="43"/>
  <c r="M153" i="43"/>
  <c r="M154" i="43"/>
  <c r="M155" i="43"/>
  <c r="M156" i="43"/>
  <c r="M157" i="43"/>
  <c r="M158" i="43"/>
  <c r="M159" i="43"/>
  <c r="M160" i="43"/>
  <c r="M161" i="43"/>
  <c r="M162" i="43"/>
  <c r="M163" i="43"/>
  <c r="M164" i="43"/>
  <c r="M165" i="43"/>
  <c r="M166" i="43"/>
  <c r="M167" i="43"/>
  <c r="M168" i="43"/>
  <c r="M169" i="43"/>
  <c r="M170" i="43"/>
  <c r="M116" i="43"/>
  <c r="M117" i="43"/>
  <c r="M118" i="43"/>
  <c r="M119" i="43"/>
  <c r="M120" i="43"/>
  <c r="M121" i="43"/>
  <c r="M122" i="43"/>
  <c r="M123" i="43"/>
  <c r="M124" i="43"/>
  <c r="M125" i="43"/>
  <c r="M126" i="43"/>
  <c r="M127" i="43"/>
  <c r="M128" i="43"/>
  <c r="M129" i="43"/>
  <c r="M190" i="38"/>
  <c r="M9" i="38"/>
  <c r="M8" i="38"/>
  <c r="M13" i="38"/>
  <c r="M12" i="38"/>
  <c r="M11" i="38"/>
  <c r="M188" i="38"/>
  <c r="M187" i="38"/>
  <c r="M186" i="38"/>
  <c r="M185" i="38"/>
  <c r="M184" i="38"/>
  <c r="M183" i="38"/>
  <c r="M182" i="38"/>
  <c r="M181" i="38"/>
  <c r="M180" i="38"/>
  <c r="M179" i="38"/>
  <c r="M178" i="38"/>
  <c r="M177" i="38"/>
  <c r="M176" i="38"/>
  <c r="M175" i="38"/>
  <c r="M115" i="38"/>
  <c r="M114" i="38"/>
  <c r="M113" i="38"/>
  <c r="M112" i="38"/>
  <c r="M111" i="38"/>
  <c r="M110" i="38"/>
  <c r="M109" i="38"/>
  <c r="M108" i="38"/>
  <c r="M107" i="38"/>
  <c r="M106" i="38"/>
  <c r="M105" i="38"/>
  <c r="M104" i="38"/>
  <c r="M103" i="38"/>
  <c r="M102" i="38"/>
  <c r="M101" i="38"/>
  <c r="M100" i="38"/>
  <c r="M99" i="38"/>
  <c r="M98" i="38"/>
  <c r="M97" i="38"/>
  <c r="M96" i="38"/>
  <c r="M95" i="38"/>
  <c r="M94" i="38"/>
  <c r="M93" i="38"/>
  <c r="M92" i="38"/>
  <c r="M91" i="38"/>
  <c r="M90" i="38"/>
  <c r="M89" i="38"/>
  <c r="M88" i="38"/>
  <c r="M87" i="38"/>
  <c r="M86" i="38"/>
  <c r="M85" i="38"/>
  <c r="M84" i="38"/>
  <c r="M83" i="38"/>
  <c r="M82" i="38"/>
  <c r="M81" i="38"/>
  <c r="M80" i="38"/>
  <c r="M79" i="38"/>
  <c r="M78" i="38"/>
  <c r="M77" i="38"/>
  <c r="M76" i="38"/>
  <c r="M75" i="38"/>
  <c r="M74" i="38"/>
  <c r="M73" i="38"/>
  <c r="M72" i="38"/>
  <c r="M71" i="38"/>
  <c r="M70" i="38"/>
  <c r="M69" i="38"/>
  <c r="M68" i="38"/>
  <c r="M67" i="38"/>
  <c r="M66" i="38"/>
  <c r="M65" i="38"/>
  <c r="M64" i="38"/>
  <c r="M63" i="38"/>
  <c r="M62" i="38"/>
  <c r="M52" i="38"/>
  <c r="M51" i="38"/>
  <c r="M50" i="38"/>
  <c r="M49" i="38"/>
  <c r="M48" i="38"/>
  <c r="M47" i="38"/>
  <c r="M44" i="38"/>
  <c r="M43" i="38"/>
  <c r="M42" i="38"/>
  <c r="M41" i="38"/>
  <c r="M40" i="38"/>
  <c r="M39" i="38"/>
  <c r="M38" i="38"/>
  <c r="M37" i="38"/>
  <c r="M36" i="38"/>
  <c r="M35" i="38"/>
  <c r="M34" i="38"/>
  <c r="M31" i="38"/>
  <c r="M30" i="38"/>
  <c r="M27" i="38"/>
  <c r="M26" i="38"/>
  <c r="M25" i="38"/>
  <c r="M24" i="38"/>
  <c r="M23" i="38"/>
  <c r="M22" i="38"/>
  <c r="M21" i="38"/>
  <c r="M20" i="38"/>
  <c r="M53" i="38"/>
  <c r="M54" i="38"/>
  <c r="M55" i="38"/>
  <c r="M59" i="38"/>
  <c r="M60" i="38"/>
  <c r="M61" i="38"/>
  <c r="M29" i="43"/>
  <c r="M28" i="43"/>
  <c r="M25" i="43"/>
  <c r="M24" i="43"/>
  <c r="M23" i="43"/>
  <c r="M22" i="43"/>
  <c r="M21" i="43"/>
  <c r="M20" i="43"/>
  <c r="M19" i="43"/>
  <c r="M18" i="43"/>
  <c r="M42" i="43"/>
  <c r="M41" i="43"/>
  <c r="M40" i="43"/>
  <c r="M53" i="43"/>
  <c r="M52" i="43"/>
  <c r="M51" i="43"/>
  <c r="M50" i="43"/>
  <c r="M49" i="43"/>
  <c r="M48" i="43"/>
  <c r="M47" i="43"/>
  <c r="M46" i="43"/>
  <c r="M45" i="43"/>
  <c r="M115" i="43"/>
  <c r="M114" i="43"/>
  <c r="M113" i="43"/>
  <c r="M112" i="43"/>
  <c r="M111" i="43"/>
  <c r="M110" i="43"/>
  <c r="M109" i="43"/>
  <c r="M108" i="43"/>
  <c r="M107" i="43"/>
  <c r="M106" i="43"/>
  <c r="M105" i="43"/>
  <c r="M104" i="43"/>
  <c r="M103" i="43"/>
  <c r="M102" i="43"/>
  <c r="M101" i="43"/>
  <c r="M100" i="43"/>
  <c r="M99" i="43"/>
  <c r="M98" i="43"/>
  <c r="M97" i="43"/>
  <c r="M96" i="43"/>
  <c r="M95" i="43"/>
  <c r="M94" i="43"/>
  <c r="M93" i="43"/>
  <c r="M92" i="43"/>
  <c r="M91" i="43"/>
  <c r="M90" i="43"/>
  <c r="M89" i="43"/>
  <c r="M88" i="43"/>
  <c r="M87" i="43"/>
  <c r="M86" i="43"/>
  <c r="M85" i="43"/>
  <c r="M84" i="43"/>
  <c r="M83" i="43"/>
  <c r="M82" i="43"/>
  <c r="M81" i="43"/>
  <c r="M80" i="43"/>
  <c r="M79" i="43"/>
  <c r="M78" i="43"/>
  <c r="M77" i="43"/>
  <c r="M76" i="43"/>
  <c r="M75" i="43"/>
  <c r="M74" i="43"/>
  <c r="M73" i="43"/>
  <c r="M72" i="43"/>
  <c r="M71" i="43"/>
  <c r="M70" i="43"/>
  <c r="M69" i="43"/>
  <c r="M68" i="43"/>
  <c r="M67" i="43"/>
  <c r="M66" i="43"/>
  <c r="M65" i="43"/>
  <c r="M64" i="43"/>
  <c r="M63" i="43"/>
  <c r="M62" i="43"/>
  <c r="M61" i="43"/>
  <c r="M185" i="43"/>
  <c r="M184" i="43"/>
  <c r="M183" i="43"/>
  <c r="M182" i="43"/>
  <c r="M181" i="43"/>
  <c r="M180" i="43"/>
  <c r="M179" i="43"/>
  <c r="M178" i="43"/>
  <c r="M177" i="43"/>
  <c r="M176" i="43"/>
  <c r="M175" i="43"/>
  <c r="M174" i="43"/>
  <c r="M173" i="43"/>
  <c r="M188" i="43"/>
  <c r="M11" i="43"/>
  <c r="M10" i="43"/>
  <c r="M9" i="43"/>
  <c r="M7" i="43"/>
  <c r="M6" i="43"/>
  <c r="M60" i="43"/>
  <c r="M186" i="43"/>
  <c r="M57" i="43"/>
  <c r="M58" i="43"/>
  <c r="M59" i="43"/>
  <c r="N28" i="36"/>
  <c r="N4" i="36"/>
  <c r="N4" i="21"/>
  <c r="N4" i="43"/>
  <c r="N4" i="38"/>
  <c r="N16" i="20"/>
  <c r="N17" i="20"/>
  <c r="N15" i="20"/>
  <c r="N116" i="38" l="1"/>
  <c r="N117" i="38"/>
  <c r="N118" i="38"/>
  <c r="N119" i="38"/>
  <c r="N120" i="38"/>
  <c r="N121" i="38"/>
  <c r="N122" i="38"/>
  <c r="N123" i="38"/>
  <c r="N124" i="38"/>
  <c r="N125" i="38"/>
  <c r="N126" i="38"/>
  <c r="N127" i="38"/>
  <c r="N128" i="38"/>
  <c r="N129" i="38"/>
  <c r="N130" i="38"/>
  <c r="N131" i="38"/>
  <c r="N132" i="38"/>
  <c r="N133" i="38"/>
  <c r="N134" i="38"/>
  <c r="N135" i="38"/>
  <c r="N136" i="38"/>
  <c r="N137" i="38"/>
  <c r="N138" i="38"/>
  <c r="N139" i="38"/>
  <c r="N144" i="38"/>
  <c r="N145" i="38"/>
  <c r="N143" i="38"/>
  <c r="N146" i="38"/>
  <c r="N147" i="38"/>
  <c r="N148" i="38"/>
  <c r="N149" i="38"/>
  <c r="N150" i="38"/>
  <c r="N151" i="38"/>
  <c r="N172" i="38"/>
  <c r="N152" i="38"/>
  <c r="N153" i="38"/>
  <c r="N154" i="38"/>
  <c r="N155" i="38"/>
  <c r="N156" i="38"/>
  <c r="N157" i="38"/>
  <c r="N171" i="38"/>
  <c r="N140" i="38"/>
  <c r="N158" i="38"/>
  <c r="N159" i="38"/>
  <c r="N160" i="38"/>
  <c r="N161" i="38"/>
  <c r="N162" i="38"/>
  <c r="N163" i="38"/>
  <c r="N170" i="38"/>
  <c r="N142" i="38"/>
  <c r="N164" i="38"/>
  <c r="N165" i="38"/>
  <c r="N166" i="38"/>
  <c r="N167" i="38"/>
  <c r="N168" i="38"/>
  <c r="N169" i="38"/>
  <c r="N141" i="38"/>
  <c r="N124" i="43"/>
  <c r="O124" i="43" s="1"/>
  <c r="N125" i="43"/>
  <c r="O125" i="43" s="1"/>
  <c r="N126" i="43"/>
  <c r="O126" i="43" s="1"/>
  <c r="N127" i="43"/>
  <c r="O127" i="43" s="1"/>
  <c r="N128" i="43"/>
  <c r="O128" i="43" s="1"/>
  <c r="N129" i="43"/>
  <c r="O129" i="43" s="1"/>
  <c r="N130" i="43"/>
  <c r="O130" i="43" s="1"/>
  <c r="N131" i="43"/>
  <c r="O131" i="43" s="1"/>
  <c r="N132" i="43"/>
  <c r="O132" i="43" s="1"/>
  <c r="N133" i="43"/>
  <c r="O133" i="43" s="1"/>
  <c r="N134" i="43"/>
  <c r="O134" i="43" s="1"/>
  <c r="N135" i="43"/>
  <c r="O135" i="43" s="1"/>
  <c r="N136" i="43"/>
  <c r="O136" i="43" s="1"/>
  <c r="N137" i="43"/>
  <c r="O137" i="43" s="1"/>
  <c r="N138" i="43"/>
  <c r="O138" i="43" s="1"/>
  <c r="N139" i="43"/>
  <c r="O139" i="43" s="1"/>
  <c r="N140" i="43"/>
  <c r="O140" i="43" s="1"/>
  <c r="N141" i="43"/>
  <c r="O141" i="43" s="1"/>
  <c r="N142" i="43"/>
  <c r="O142" i="43" s="1"/>
  <c r="N143" i="43"/>
  <c r="O143" i="43" s="1"/>
  <c r="N144" i="43"/>
  <c r="O144" i="43" s="1"/>
  <c r="N145" i="43"/>
  <c r="O145" i="43" s="1"/>
  <c r="N146" i="43"/>
  <c r="O146" i="43" s="1"/>
  <c r="N147" i="43"/>
  <c r="O147" i="43" s="1"/>
  <c r="N148" i="43"/>
  <c r="O148" i="43" s="1"/>
  <c r="N149" i="43"/>
  <c r="O149" i="43" s="1"/>
  <c r="N150" i="43"/>
  <c r="O150" i="43" s="1"/>
  <c r="N151" i="43"/>
  <c r="O151" i="43" s="1"/>
  <c r="N152" i="43"/>
  <c r="O152" i="43" s="1"/>
  <c r="N153" i="43"/>
  <c r="O153" i="43" s="1"/>
  <c r="N154" i="43"/>
  <c r="O154" i="43" s="1"/>
  <c r="N155" i="43"/>
  <c r="O155" i="43" s="1"/>
  <c r="N156" i="43"/>
  <c r="O156" i="43" s="1"/>
  <c r="N157" i="43"/>
  <c r="O157" i="43" s="1"/>
  <c r="N158" i="43"/>
  <c r="O158" i="43" s="1"/>
  <c r="N159" i="43"/>
  <c r="O159" i="43" s="1"/>
  <c r="N160" i="43"/>
  <c r="O160" i="43" s="1"/>
  <c r="N161" i="43"/>
  <c r="O161" i="43" s="1"/>
  <c r="N162" i="43"/>
  <c r="O162" i="43" s="1"/>
  <c r="N163" i="43"/>
  <c r="O163" i="43" s="1"/>
  <c r="N164" i="43"/>
  <c r="O164" i="43" s="1"/>
  <c r="N165" i="43"/>
  <c r="O165" i="43" s="1"/>
  <c r="N166" i="43"/>
  <c r="O166" i="43" s="1"/>
  <c r="N167" i="43"/>
  <c r="O167" i="43" s="1"/>
  <c r="N168" i="43"/>
  <c r="O168" i="43" s="1"/>
  <c r="N169" i="43"/>
  <c r="O169" i="43" s="1"/>
  <c r="N170" i="43"/>
  <c r="O170" i="43" s="1"/>
  <c r="N116" i="43"/>
  <c r="O116" i="43" s="1"/>
  <c r="N117" i="43"/>
  <c r="O117" i="43" s="1"/>
  <c r="N118" i="43"/>
  <c r="O118" i="43" s="1"/>
  <c r="N119" i="43"/>
  <c r="O119" i="43" s="1"/>
  <c r="N120" i="43"/>
  <c r="O120" i="43" s="1"/>
  <c r="N121" i="43"/>
  <c r="O121" i="43" s="1"/>
  <c r="N122" i="43"/>
  <c r="O122" i="43" s="1"/>
  <c r="N123" i="43"/>
  <c r="O123" i="43" s="1"/>
  <c r="N190" i="38"/>
  <c r="N9" i="38"/>
  <c r="N8" i="38"/>
  <c r="N13" i="38"/>
  <c r="N12" i="38"/>
  <c r="N11" i="38"/>
  <c r="N188" i="38"/>
  <c r="N187" i="38"/>
  <c r="N186" i="38"/>
  <c r="N185" i="38"/>
  <c r="N184" i="38"/>
  <c r="N183" i="38"/>
  <c r="N182" i="38"/>
  <c r="N181" i="38"/>
  <c r="N180" i="38"/>
  <c r="N179" i="38"/>
  <c r="N178" i="38"/>
  <c r="N177" i="38"/>
  <c r="N176" i="38"/>
  <c r="N175" i="38"/>
  <c r="N115" i="38"/>
  <c r="N114" i="38"/>
  <c r="N113" i="38"/>
  <c r="N112" i="38"/>
  <c r="N111" i="38"/>
  <c r="N110" i="38"/>
  <c r="N109" i="38"/>
  <c r="N108" i="38"/>
  <c r="N107" i="38"/>
  <c r="N106" i="38"/>
  <c r="N105" i="38"/>
  <c r="N104" i="38"/>
  <c r="N103" i="38"/>
  <c r="N102" i="38"/>
  <c r="N101" i="38"/>
  <c r="N100" i="38"/>
  <c r="N99" i="38"/>
  <c r="N98" i="38"/>
  <c r="N97" i="38"/>
  <c r="N96" i="38"/>
  <c r="N95" i="38"/>
  <c r="N94" i="38"/>
  <c r="N93" i="38"/>
  <c r="N92" i="38"/>
  <c r="N91" i="38"/>
  <c r="N90" i="38"/>
  <c r="N89" i="38"/>
  <c r="N88" i="38"/>
  <c r="N87" i="38"/>
  <c r="N86" i="38"/>
  <c r="N85" i="38"/>
  <c r="N84" i="38"/>
  <c r="N83" i="38"/>
  <c r="N82" i="38"/>
  <c r="N81" i="38"/>
  <c r="N80" i="38"/>
  <c r="N79" i="38"/>
  <c r="N78" i="38"/>
  <c r="N77" i="38"/>
  <c r="N76" i="38"/>
  <c r="N75" i="38"/>
  <c r="N74" i="38"/>
  <c r="N73" i="38"/>
  <c r="N72" i="38"/>
  <c r="N71" i="38"/>
  <c r="N70" i="38"/>
  <c r="N69" i="38"/>
  <c r="N68" i="38"/>
  <c r="N67" i="38"/>
  <c r="N66" i="38"/>
  <c r="N65" i="38"/>
  <c r="N64" i="38"/>
  <c r="N63" i="38"/>
  <c r="N52" i="38"/>
  <c r="N51" i="38"/>
  <c r="N50" i="38"/>
  <c r="N49" i="38"/>
  <c r="N48" i="38"/>
  <c r="N47" i="38"/>
  <c r="N44" i="38"/>
  <c r="N43" i="38"/>
  <c r="N42" i="38"/>
  <c r="N41" i="38"/>
  <c r="N40" i="38"/>
  <c r="N39" i="38"/>
  <c r="N38" i="38"/>
  <c r="N31" i="21" s="1"/>
  <c r="N36" i="43" s="1"/>
  <c r="N37" i="38"/>
  <c r="N36" i="38"/>
  <c r="N35" i="38"/>
  <c r="N34" i="38"/>
  <c r="N31" i="38"/>
  <c r="N30" i="38"/>
  <c r="N27" i="38"/>
  <c r="N26" i="38"/>
  <c r="N25" i="38"/>
  <c r="N24" i="38"/>
  <c r="N23" i="38"/>
  <c r="N22" i="38"/>
  <c r="N21" i="38"/>
  <c r="N20" i="38"/>
  <c r="N53" i="38"/>
  <c r="N54" i="38"/>
  <c r="N55" i="38"/>
  <c r="N59" i="38"/>
  <c r="N60" i="38"/>
  <c r="N61" i="38"/>
  <c r="N62" i="38"/>
  <c r="N29" i="43"/>
  <c r="N28" i="43"/>
  <c r="N25" i="43"/>
  <c r="N24" i="43"/>
  <c r="N23" i="43"/>
  <c r="N22" i="43"/>
  <c r="N21" i="43"/>
  <c r="N20" i="43"/>
  <c r="N19" i="43"/>
  <c r="N18" i="43"/>
  <c r="N42" i="43"/>
  <c r="N41" i="43"/>
  <c r="N40" i="43"/>
  <c r="N53" i="43"/>
  <c r="N52" i="43"/>
  <c r="N51" i="43"/>
  <c r="N50" i="43"/>
  <c r="N49" i="43"/>
  <c r="N48" i="43"/>
  <c r="N47" i="43"/>
  <c r="N46" i="43"/>
  <c r="N45" i="43"/>
  <c r="N115" i="43"/>
  <c r="N114" i="43"/>
  <c r="N113" i="43"/>
  <c r="N112" i="43"/>
  <c r="N111" i="43"/>
  <c r="N110" i="43"/>
  <c r="N109" i="43"/>
  <c r="N108" i="43"/>
  <c r="N107" i="43"/>
  <c r="N106" i="43"/>
  <c r="N105" i="43"/>
  <c r="N104" i="43"/>
  <c r="N103" i="43"/>
  <c r="N102" i="43"/>
  <c r="N101" i="43"/>
  <c r="N100" i="43"/>
  <c r="N99" i="43"/>
  <c r="N98" i="43"/>
  <c r="N97" i="43"/>
  <c r="N96" i="43"/>
  <c r="N95" i="43"/>
  <c r="N94" i="43"/>
  <c r="N93" i="43"/>
  <c r="N92" i="43"/>
  <c r="N91" i="43"/>
  <c r="N90" i="43"/>
  <c r="N89" i="43"/>
  <c r="N88" i="43"/>
  <c r="N87" i="43"/>
  <c r="N86" i="43"/>
  <c r="N85" i="43"/>
  <c r="N84" i="43"/>
  <c r="N83" i="43"/>
  <c r="N82" i="43"/>
  <c r="N81" i="43"/>
  <c r="N80" i="43"/>
  <c r="N79" i="43"/>
  <c r="N78" i="43"/>
  <c r="N77" i="43"/>
  <c r="N76" i="43"/>
  <c r="N75" i="43"/>
  <c r="N74" i="43"/>
  <c r="N73" i="43"/>
  <c r="N72" i="43"/>
  <c r="N71" i="43"/>
  <c r="N70" i="43"/>
  <c r="N65" i="43"/>
  <c r="N185" i="43"/>
  <c r="N184" i="43"/>
  <c r="N183" i="43"/>
  <c r="N182" i="43"/>
  <c r="N181" i="43"/>
  <c r="N180" i="43"/>
  <c r="N179" i="43"/>
  <c r="N178" i="43"/>
  <c r="N177" i="43"/>
  <c r="N176" i="43"/>
  <c r="N175" i="43"/>
  <c r="N174" i="43"/>
  <c r="N173" i="43"/>
  <c r="N188" i="43"/>
  <c r="N11" i="43"/>
  <c r="N10" i="43"/>
  <c r="N9" i="43"/>
  <c r="N7" i="43"/>
  <c r="N6" i="43"/>
  <c r="N62" i="43"/>
  <c r="N64" i="43"/>
  <c r="N61" i="43"/>
  <c r="N186" i="43"/>
  <c r="N69" i="43"/>
  <c r="N57" i="43"/>
  <c r="N66" i="43"/>
  <c r="N58" i="43"/>
  <c r="N68" i="43"/>
  <c r="N63" i="43"/>
  <c r="N59" i="43"/>
  <c r="N67" i="43"/>
  <c r="N60" i="43"/>
  <c r="C4" i="38" l="1"/>
  <c r="C116" i="38" l="1"/>
  <c r="O116" i="38" s="1"/>
  <c r="C117" i="38"/>
  <c r="O117" i="38" s="1"/>
  <c r="C118" i="38"/>
  <c r="O118" i="38" s="1"/>
  <c r="C119" i="38"/>
  <c r="O119" i="38" s="1"/>
  <c r="C120" i="38"/>
  <c r="O120" i="38" s="1"/>
  <c r="C121" i="38"/>
  <c r="O121" i="38" s="1"/>
  <c r="C122" i="38"/>
  <c r="O122" i="38" s="1"/>
  <c r="C123" i="38"/>
  <c r="O123" i="38" s="1"/>
  <c r="C124" i="38"/>
  <c r="O124" i="38" s="1"/>
  <c r="C125" i="38"/>
  <c r="O125" i="38" s="1"/>
  <c r="C126" i="38"/>
  <c r="O126" i="38" s="1"/>
  <c r="C127" i="38"/>
  <c r="O127" i="38" s="1"/>
  <c r="C128" i="38"/>
  <c r="O128" i="38" s="1"/>
  <c r="C129" i="38"/>
  <c r="O129" i="38" s="1"/>
  <c r="C130" i="38"/>
  <c r="O130" i="38" s="1"/>
  <c r="C131" i="38"/>
  <c r="O131" i="38" s="1"/>
  <c r="C132" i="38"/>
  <c r="O132" i="38" s="1"/>
  <c r="C133" i="38"/>
  <c r="O133" i="38" s="1"/>
  <c r="C140" i="38"/>
  <c r="O140" i="38" s="1"/>
  <c r="C141" i="38"/>
  <c r="O141" i="38" s="1"/>
  <c r="C135" i="38"/>
  <c r="O135" i="38" s="1"/>
  <c r="C145" i="38"/>
  <c r="O145" i="38" s="1"/>
  <c r="C136" i="38"/>
  <c r="O136" i="38" s="1"/>
  <c r="C144" i="38"/>
  <c r="O144" i="38" s="1"/>
  <c r="C146" i="38"/>
  <c r="O146" i="38" s="1"/>
  <c r="C147" i="38"/>
  <c r="O147" i="38" s="1"/>
  <c r="C148" i="38"/>
  <c r="O148" i="38" s="1"/>
  <c r="C149" i="38"/>
  <c r="O149" i="38" s="1"/>
  <c r="C150" i="38"/>
  <c r="O150" i="38" s="1"/>
  <c r="C151" i="38"/>
  <c r="O151" i="38" s="1"/>
  <c r="C152" i="38"/>
  <c r="O152" i="38" s="1"/>
  <c r="C153" i="38"/>
  <c r="O153" i="38" s="1"/>
  <c r="C154" i="38"/>
  <c r="O154" i="38" s="1"/>
  <c r="C155" i="38"/>
  <c r="O155" i="38" s="1"/>
  <c r="C156" i="38"/>
  <c r="O156" i="38" s="1"/>
  <c r="C157" i="38"/>
  <c r="O157" i="38" s="1"/>
  <c r="C172" i="38"/>
  <c r="O172" i="38" s="1"/>
  <c r="C137" i="38"/>
  <c r="O137" i="38" s="1"/>
  <c r="C158" i="38"/>
  <c r="O158" i="38" s="1"/>
  <c r="C159" i="38"/>
  <c r="O159" i="38" s="1"/>
  <c r="C160" i="38"/>
  <c r="O160" i="38" s="1"/>
  <c r="C161" i="38"/>
  <c r="O161" i="38" s="1"/>
  <c r="C162" i="38"/>
  <c r="O162" i="38" s="1"/>
  <c r="C163" i="38"/>
  <c r="O163" i="38" s="1"/>
  <c r="C171" i="38"/>
  <c r="O171" i="38" s="1"/>
  <c r="C143" i="38"/>
  <c r="O143" i="38" s="1"/>
  <c r="C164" i="38"/>
  <c r="O164" i="38" s="1"/>
  <c r="C165" i="38"/>
  <c r="O165" i="38" s="1"/>
  <c r="C166" i="38"/>
  <c r="O166" i="38" s="1"/>
  <c r="C167" i="38"/>
  <c r="O167" i="38" s="1"/>
  <c r="C168" i="38"/>
  <c r="O168" i="38" s="1"/>
  <c r="C169" i="38"/>
  <c r="O169" i="38" s="1"/>
  <c r="C170" i="38"/>
  <c r="O170" i="38" s="1"/>
  <c r="C138" i="38"/>
  <c r="O138" i="38" s="1"/>
  <c r="C134" i="38"/>
  <c r="O134" i="38" s="1"/>
  <c r="C139" i="38"/>
  <c r="O139" i="38" s="1"/>
  <c r="C142" i="38"/>
  <c r="O142" i="38" s="1"/>
  <c r="C190" i="38"/>
  <c r="C9" i="38"/>
  <c r="C8" i="38"/>
  <c r="C13" i="38"/>
  <c r="C12" i="38"/>
  <c r="C11" i="38"/>
  <c r="C188" i="38"/>
  <c r="C187" i="38"/>
  <c r="C186" i="38"/>
  <c r="C185" i="38"/>
  <c r="C184" i="38"/>
  <c r="C183" i="38"/>
  <c r="C182" i="38"/>
  <c r="C181" i="38"/>
  <c r="C180" i="38"/>
  <c r="C179" i="38"/>
  <c r="C178" i="38"/>
  <c r="C177" i="38"/>
  <c r="C176" i="38"/>
  <c r="C175"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O61" i="38" s="1"/>
  <c r="C60" i="38"/>
  <c r="O60" i="38" s="1"/>
  <c r="C59" i="38"/>
  <c r="C55" i="38"/>
  <c r="C54" i="38"/>
  <c r="C53" i="38"/>
  <c r="C52" i="38"/>
  <c r="C51" i="38"/>
  <c r="C50" i="38"/>
  <c r="C49" i="38"/>
  <c r="C48" i="38"/>
  <c r="C47" i="38"/>
  <c r="C44" i="38"/>
  <c r="C43" i="38"/>
  <c r="C42" i="38"/>
  <c r="C41" i="38"/>
  <c r="C40" i="38"/>
  <c r="C39" i="38"/>
  <c r="C38" i="38"/>
  <c r="C37" i="38"/>
  <c r="C36" i="38"/>
  <c r="C35" i="38"/>
  <c r="C34" i="38"/>
  <c r="C31" i="38"/>
  <c r="C30" i="38"/>
  <c r="C27" i="38"/>
  <c r="C26" i="38"/>
  <c r="C25" i="38"/>
  <c r="C24" i="38"/>
  <c r="C23" i="38"/>
  <c r="C22" i="38"/>
  <c r="C21" i="38"/>
  <c r="C20" i="38"/>
  <c r="C4" i="36" l="1"/>
  <c r="N25" i="21"/>
  <c r="M25" i="21"/>
  <c r="O25" i="36"/>
  <c r="O24" i="36"/>
  <c r="O23" i="36"/>
  <c r="O8" i="36"/>
  <c r="O19" i="36"/>
  <c r="O20" i="36"/>
  <c r="O21" i="36"/>
  <c r="O18" i="36"/>
  <c r="O12" i="36"/>
  <c r="O10" i="36"/>
  <c r="O7" i="36"/>
  <c r="I22" i="36"/>
  <c r="I26" i="36" s="1"/>
  <c r="J22" i="36"/>
  <c r="J26" i="36" s="1"/>
  <c r="K22" i="36"/>
  <c r="K26" i="36" s="1"/>
  <c r="L22" i="36"/>
  <c r="L26" i="36" s="1"/>
  <c r="M22" i="36"/>
  <c r="M26" i="36" s="1"/>
  <c r="O59" i="38" l="1"/>
  <c r="O64" i="38" l="1"/>
  <c r="O67" i="38"/>
  <c r="O62" i="38"/>
  <c r="O63" i="38"/>
  <c r="O65" i="38"/>
  <c r="O66" i="38"/>
  <c r="A2" i="20"/>
  <c r="A1" i="20"/>
  <c r="C36" i="46" l="1"/>
  <c r="A1" i="47" l="1"/>
  <c r="O14" i="36" l="1"/>
  <c r="N18" i="20"/>
  <c r="A2" i="46" l="1"/>
  <c r="A1" i="46"/>
  <c r="C5" i="38" l="1"/>
  <c r="D167" i="26"/>
  <c r="A2" i="44"/>
  <c r="A1" i="44"/>
  <c r="A2" i="43"/>
  <c r="A1" i="43"/>
  <c r="Q40" i="36"/>
  <c r="A2" i="26"/>
  <c r="A2" i="21"/>
  <c r="A1" i="26"/>
  <c r="A1" i="33"/>
  <c r="A1" i="21"/>
  <c r="A2" i="38"/>
  <c r="A1" i="38"/>
  <c r="A2" i="36"/>
  <c r="A1" i="36"/>
  <c r="R40" i="36"/>
  <c r="H22" i="36"/>
  <c r="H26" i="36" s="1"/>
  <c r="G22" i="36"/>
  <c r="G26" i="36" s="1"/>
  <c r="F22" i="36"/>
  <c r="F26" i="36" s="1"/>
  <c r="E22" i="36"/>
  <c r="E26" i="36" s="1"/>
  <c r="D22" i="36"/>
  <c r="D26" i="36" s="1"/>
  <c r="C22" i="36"/>
  <c r="C26" i="36" l="1"/>
  <c r="O26" i="36" s="1"/>
  <c r="O22" i="36"/>
  <c r="F35" i="36" l="1"/>
  <c r="J35" i="36"/>
  <c r="N35" i="36"/>
  <c r="C35" i="36"/>
  <c r="G35" i="36"/>
  <c r="K35" i="36"/>
  <c r="D35" i="36"/>
  <c r="H35" i="36"/>
  <c r="L35" i="36"/>
  <c r="E35" i="36"/>
  <c r="I35" i="36"/>
  <c r="M35" i="36"/>
  <c r="E35" i="46"/>
  <c r="E10" i="46"/>
  <c r="E33" i="46"/>
  <c r="E25" i="46"/>
  <c r="E32" i="46"/>
  <c r="E24" i="46"/>
  <c r="E8" i="46"/>
  <c r="E23" i="46"/>
  <c r="E15" i="46"/>
  <c r="E30" i="46"/>
  <c r="E22" i="46"/>
  <c r="E14" i="46"/>
  <c r="E29" i="46"/>
  <c r="E21" i="46"/>
  <c r="E13" i="46"/>
  <c r="E27" i="46"/>
  <c r="E28" i="46"/>
  <c r="E20" i="46"/>
  <c r="E12" i="46"/>
  <c r="E19" i="46"/>
  <c r="E11" i="46"/>
  <c r="E34" i="46"/>
  <c r="E18" i="46"/>
  <c r="E17" i="46"/>
  <c r="E16" i="46"/>
  <c r="N31" i="36"/>
  <c r="J49" i="36"/>
  <c r="M49" i="36"/>
  <c r="D49" i="36"/>
  <c r="N49" i="36"/>
  <c r="F49" i="36"/>
  <c r="H49" i="36"/>
  <c r="E49" i="36"/>
  <c r="G49" i="36"/>
  <c r="L49" i="36"/>
  <c r="I49" i="36"/>
  <c r="K49" i="36"/>
  <c r="I34" i="36"/>
  <c r="N36" i="36"/>
  <c r="E31" i="36"/>
  <c r="J34" i="36"/>
  <c r="D32" i="36"/>
  <c r="G34" i="36"/>
  <c r="L32" i="36"/>
  <c r="H34" i="36"/>
  <c r="E26" i="46"/>
  <c r="E34" i="36"/>
  <c r="H32" i="36"/>
  <c r="F34" i="36"/>
  <c r="M32" i="36"/>
  <c r="D34" i="36"/>
  <c r="N32" i="36"/>
  <c r="H31" i="36"/>
  <c r="G32" i="36"/>
  <c r="N34" i="36"/>
  <c r="K34" i="36"/>
  <c r="G31" i="36"/>
  <c r="F32" i="36"/>
  <c r="L31" i="36"/>
  <c r="K32" i="36"/>
  <c r="K31" i="36"/>
  <c r="J32" i="36"/>
  <c r="M34" i="36"/>
  <c r="I31" i="36"/>
  <c r="F31" i="36"/>
  <c r="E32" i="36"/>
  <c r="L34" i="36"/>
  <c r="C34" i="36"/>
  <c r="M31" i="36"/>
  <c r="J31" i="36"/>
  <c r="I32" i="36"/>
  <c r="D27" i="21"/>
  <c r="D7" i="21" s="1"/>
  <c r="H27" i="21"/>
  <c r="H7" i="21" s="1"/>
  <c r="E28" i="21"/>
  <c r="E8" i="21" s="1"/>
  <c r="I28" i="21"/>
  <c r="I33" i="43" s="1"/>
  <c r="M28" i="21"/>
  <c r="M33" i="43" s="1"/>
  <c r="F29" i="21"/>
  <c r="J29" i="21"/>
  <c r="J34" i="43" s="1"/>
  <c r="N29" i="21"/>
  <c r="N34" i="43" s="1"/>
  <c r="G30" i="21"/>
  <c r="G10" i="21" s="1"/>
  <c r="G35" i="43" s="1"/>
  <c r="K30" i="21"/>
  <c r="K35" i="43" s="1"/>
  <c r="D31" i="21"/>
  <c r="D11" i="21" s="1"/>
  <c r="D36" i="43" s="1"/>
  <c r="H31" i="21"/>
  <c r="L31" i="21"/>
  <c r="L36" i="43" s="1"/>
  <c r="E32" i="21"/>
  <c r="E12" i="21" s="1"/>
  <c r="I32" i="21"/>
  <c r="I37" i="43" s="1"/>
  <c r="M32" i="21"/>
  <c r="F33" i="21"/>
  <c r="J33" i="21"/>
  <c r="N33" i="21"/>
  <c r="G34" i="21"/>
  <c r="G14" i="21" s="1"/>
  <c r="G39" i="43" s="1"/>
  <c r="K34" i="21"/>
  <c r="K39" i="43" s="1"/>
  <c r="F34" i="21"/>
  <c r="E27" i="21"/>
  <c r="E7" i="21" s="1"/>
  <c r="F28" i="21"/>
  <c r="J28" i="21"/>
  <c r="J33" i="43" s="1"/>
  <c r="N28" i="21"/>
  <c r="N33" i="43" s="1"/>
  <c r="G29" i="21"/>
  <c r="K29" i="21"/>
  <c r="K34" i="43" s="1"/>
  <c r="D30" i="21"/>
  <c r="D10" i="21" s="1"/>
  <c r="D35" i="43" s="1"/>
  <c r="H30" i="21"/>
  <c r="H10" i="21" s="1"/>
  <c r="L30" i="21"/>
  <c r="L35" i="43" s="1"/>
  <c r="E31" i="21"/>
  <c r="I31" i="21"/>
  <c r="I36" i="43" s="1"/>
  <c r="M31" i="21"/>
  <c r="F32" i="21"/>
  <c r="F12" i="21" s="1"/>
  <c r="J32" i="21"/>
  <c r="J37" i="43" s="1"/>
  <c r="N32" i="21"/>
  <c r="G33" i="21"/>
  <c r="K33" i="21"/>
  <c r="D34" i="21"/>
  <c r="D14" i="21" s="1"/>
  <c r="D39" i="43" s="1"/>
  <c r="H34" i="21"/>
  <c r="L34" i="21"/>
  <c r="L39" i="43" s="1"/>
  <c r="I33" i="21"/>
  <c r="J34" i="21"/>
  <c r="J39" i="43" s="1"/>
  <c r="F27" i="21"/>
  <c r="F7" i="21" s="1"/>
  <c r="G28" i="21"/>
  <c r="K28" i="21"/>
  <c r="K33" i="43" s="1"/>
  <c r="D29" i="21"/>
  <c r="H29" i="21"/>
  <c r="L29" i="21"/>
  <c r="L34" i="43" s="1"/>
  <c r="E30" i="21"/>
  <c r="I30" i="21"/>
  <c r="I35" i="43" s="1"/>
  <c r="M30" i="21"/>
  <c r="F31" i="21"/>
  <c r="J31" i="21"/>
  <c r="G32" i="21"/>
  <c r="K32" i="21"/>
  <c r="K37" i="43" s="1"/>
  <c r="D33" i="21"/>
  <c r="D13" i="21" s="1"/>
  <c r="D38" i="43" s="1"/>
  <c r="H33" i="21"/>
  <c r="L33" i="21"/>
  <c r="E34" i="21"/>
  <c r="I34" i="21"/>
  <c r="I39" i="43" s="1"/>
  <c r="M34" i="21"/>
  <c r="M39" i="43" s="1"/>
  <c r="M33" i="21"/>
  <c r="N34" i="21"/>
  <c r="N39" i="43" s="1"/>
  <c r="G27" i="21"/>
  <c r="G7" i="21" s="1"/>
  <c r="D28" i="21"/>
  <c r="H28" i="21"/>
  <c r="L28" i="21"/>
  <c r="L33" i="43" s="1"/>
  <c r="E29" i="21"/>
  <c r="E9" i="21" s="1"/>
  <c r="I29" i="21"/>
  <c r="I34" i="43" s="1"/>
  <c r="M29" i="21"/>
  <c r="F30" i="21"/>
  <c r="J30" i="21"/>
  <c r="N30" i="21"/>
  <c r="N35" i="43" s="1"/>
  <c r="G31" i="21"/>
  <c r="K31" i="21"/>
  <c r="K36" i="43" s="1"/>
  <c r="D32" i="21"/>
  <c r="H32" i="21"/>
  <c r="L32" i="21"/>
  <c r="L37" i="43" s="1"/>
  <c r="E33" i="21"/>
  <c r="E13" i="21" s="1"/>
  <c r="E38" i="43" s="1"/>
  <c r="J14" i="38"/>
  <c r="N14" i="38"/>
  <c r="G14" i="38"/>
  <c r="K14" i="38"/>
  <c r="H12" i="21" l="1"/>
  <c r="H37" i="43" s="1"/>
  <c r="F10" i="21"/>
  <c r="F35" i="43" s="1"/>
  <c r="H9" i="21"/>
  <c r="H34" i="43" s="1"/>
  <c r="H14" i="21"/>
  <c r="H39" i="43" s="1"/>
  <c r="G8" i="21"/>
  <c r="G33" i="43" s="1"/>
  <c r="G9" i="21"/>
  <c r="G34" i="43" s="1"/>
  <c r="H8" i="21"/>
  <c r="H33" i="43" s="1"/>
  <c r="G12" i="21"/>
  <c r="G37" i="43" s="1"/>
  <c r="F37" i="43"/>
  <c r="F36" i="43"/>
  <c r="F8" i="21"/>
  <c r="F9" i="21"/>
  <c r="F34" i="43" s="1"/>
  <c r="F14" i="21"/>
  <c r="F39" i="43" s="1"/>
  <c r="E14" i="21"/>
  <c r="E39" i="43" s="1"/>
  <c r="E10" i="21"/>
  <c r="E35" i="43" s="1"/>
  <c r="E11" i="21"/>
  <c r="E36" i="43" s="1"/>
  <c r="D12" i="21"/>
  <c r="D37" i="43" s="1"/>
  <c r="D9" i="21"/>
  <c r="D34" i="43" s="1"/>
  <c r="D8" i="21"/>
  <c r="E33" i="43"/>
  <c r="E34" i="43"/>
  <c r="E37" i="43"/>
  <c r="N37" i="43"/>
  <c r="M34" i="43"/>
  <c r="M35" i="43"/>
  <c r="M36" i="43"/>
  <c r="M37" i="43"/>
  <c r="M38" i="43"/>
  <c r="H35" i="43"/>
  <c r="H32" i="43"/>
  <c r="G32" i="43"/>
  <c r="F32" i="43"/>
  <c r="E32" i="43"/>
  <c r="D32" i="43"/>
  <c r="O35" i="36"/>
  <c r="N37" i="36"/>
  <c r="N38" i="36" s="1"/>
  <c r="F14" i="38"/>
  <c r="O26" i="38"/>
  <c r="O22" i="38"/>
  <c r="O23" i="38"/>
  <c r="O10" i="43"/>
  <c r="O25" i="43"/>
  <c r="O21" i="43"/>
  <c r="O27" i="38"/>
  <c r="O52" i="43"/>
  <c r="O22" i="43"/>
  <c r="O12" i="38"/>
  <c r="O24" i="38"/>
  <c r="O54" i="38"/>
  <c r="O185" i="43"/>
  <c r="O23" i="43"/>
  <c r="O25" i="38"/>
  <c r="O187" i="38"/>
  <c r="O186" i="43"/>
  <c r="O24" i="43"/>
  <c r="G36" i="36"/>
  <c r="G37" i="36" s="1"/>
  <c r="G12" i="43"/>
  <c r="L36" i="36"/>
  <c r="L37" i="36" s="1"/>
  <c r="L12" i="43"/>
  <c r="M36" i="36"/>
  <c r="M37" i="36" s="1"/>
  <c r="M12" i="43"/>
  <c r="N12" i="43"/>
  <c r="C36" i="36"/>
  <c r="C37" i="36" s="1"/>
  <c r="C12" i="43"/>
  <c r="H36" i="36"/>
  <c r="H37" i="36" s="1"/>
  <c r="H12" i="43"/>
  <c r="J36" i="36"/>
  <c r="J37" i="36" s="1"/>
  <c r="J12" i="43"/>
  <c r="E36" i="36"/>
  <c r="E37" i="36" s="1"/>
  <c r="E12" i="43"/>
  <c r="F36" i="36"/>
  <c r="F37" i="36" s="1"/>
  <c r="F12" i="43"/>
  <c r="D36" i="36"/>
  <c r="D37" i="36" s="1"/>
  <c r="D12" i="43"/>
  <c r="I36" i="36"/>
  <c r="I37" i="36" s="1"/>
  <c r="I12" i="43"/>
  <c r="K36" i="36"/>
  <c r="K37" i="36" s="1"/>
  <c r="K12" i="43"/>
  <c r="C14" i="38"/>
  <c r="H14" i="38"/>
  <c r="L14" i="38"/>
  <c r="M14" i="38"/>
  <c r="D14" i="38"/>
  <c r="I14" i="38"/>
  <c r="E14" i="38"/>
  <c r="O53" i="38"/>
  <c r="O51" i="43"/>
  <c r="C15" i="38"/>
  <c r="C7" i="20" s="1"/>
  <c r="K32" i="38"/>
  <c r="M30" i="43"/>
  <c r="M43" i="36" s="1"/>
  <c r="N54" i="43"/>
  <c r="N45" i="36" s="1"/>
  <c r="K13" i="43"/>
  <c r="H30" i="43"/>
  <c r="H43" i="36" s="1"/>
  <c r="L26" i="43"/>
  <c r="L42" i="36" s="1"/>
  <c r="K30" i="43"/>
  <c r="K43" i="36" s="1"/>
  <c r="K187" i="43"/>
  <c r="K48" i="36" s="1"/>
  <c r="G187" i="43"/>
  <c r="G48" i="36" s="1"/>
  <c r="G171" i="43"/>
  <c r="G47" i="36" s="1"/>
  <c r="F171" i="43"/>
  <c r="F47" i="36" s="1"/>
  <c r="N26" i="43"/>
  <c r="N42" i="36" s="1"/>
  <c r="J30" i="43"/>
  <c r="J43" i="36" s="1"/>
  <c r="N187" i="43"/>
  <c r="N48" i="36" s="1"/>
  <c r="J54" i="43"/>
  <c r="J45" i="36" s="1"/>
  <c r="N13" i="43"/>
  <c r="G30" i="43"/>
  <c r="G43" i="36" s="1"/>
  <c r="F30" i="43"/>
  <c r="F43" i="36" s="1"/>
  <c r="J187" i="43"/>
  <c r="J48" i="36" s="1"/>
  <c r="M187" i="43"/>
  <c r="M48" i="36" s="1"/>
  <c r="L187" i="43"/>
  <c r="L48" i="36" s="1"/>
  <c r="K171" i="43"/>
  <c r="K47" i="36" s="1"/>
  <c r="F54" i="43"/>
  <c r="F45" i="36" s="1"/>
  <c r="G13" i="43"/>
  <c r="N171" i="43"/>
  <c r="N47" i="36" s="1"/>
  <c r="M54" i="43"/>
  <c r="M45" i="36" s="1"/>
  <c r="F26" i="43"/>
  <c r="F42" i="36" s="1"/>
  <c r="J13" i="43"/>
  <c r="M171" i="43"/>
  <c r="M47" i="36" s="1"/>
  <c r="L54" i="43"/>
  <c r="L45" i="36" s="1"/>
  <c r="I26" i="43"/>
  <c r="I42" i="36" s="1"/>
  <c r="M13" i="43"/>
  <c r="L171" i="43"/>
  <c r="L47" i="36" s="1"/>
  <c r="K54" i="43"/>
  <c r="K45" i="36" s="1"/>
  <c r="L13" i="43"/>
  <c r="F187" i="43"/>
  <c r="F48" i="36" s="1"/>
  <c r="I187" i="43"/>
  <c r="I48" i="36" s="1"/>
  <c r="H187" i="43"/>
  <c r="H48" i="36" s="1"/>
  <c r="J171" i="43"/>
  <c r="J47" i="36" s="1"/>
  <c r="I54" i="43"/>
  <c r="I45" i="36" s="1"/>
  <c r="L30" i="43"/>
  <c r="L43" i="36" s="1"/>
  <c r="F13" i="43"/>
  <c r="I171" i="43"/>
  <c r="I47" i="36" s="1"/>
  <c r="H54" i="43"/>
  <c r="H45" i="36" s="1"/>
  <c r="I13" i="43"/>
  <c r="H171" i="43"/>
  <c r="H47" i="36" s="1"/>
  <c r="G54" i="43"/>
  <c r="G45" i="36" s="1"/>
  <c r="N30" i="43"/>
  <c r="N43" i="36" s="1"/>
  <c r="H13" i="43"/>
  <c r="L15" i="38"/>
  <c r="L7" i="20" s="1"/>
  <c r="O47" i="38"/>
  <c r="O43" i="38"/>
  <c r="O182" i="38"/>
  <c r="O186" i="38"/>
  <c r="L32" i="38"/>
  <c r="K56" i="38"/>
  <c r="O111" i="38"/>
  <c r="J189" i="38"/>
  <c r="L56" i="38"/>
  <c r="M173" i="38"/>
  <c r="I27" i="21"/>
  <c r="I45" i="38"/>
  <c r="I28" i="38"/>
  <c r="O88" i="38"/>
  <c r="O180" i="38"/>
  <c r="L189" i="38"/>
  <c r="N56" i="38"/>
  <c r="M15" i="38"/>
  <c r="M7" i="20" s="1"/>
  <c r="N173" i="38"/>
  <c r="I173" i="38"/>
  <c r="K27" i="21"/>
  <c r="K45" i="38"/>
  <c r="M28" i="38"/>
  <c r="K28" i="38"/>
  <c r="N32" i="38"/>
  <c r="M56" i="38"/>
  <c r="J26" i="43"/>
  <c r="J42" i="36" s="1"/>
  <c r="M26" i="43"/>
  <c r="O112" i="38"/>
  <c r="O70" i="38"/>
  <c r="K15" i="38"/>
  <c r="K7" i="20" s="1"/>
  <c r="N15" i="38"/>
  <c r="N7" i="20" s="1"/>
  <c r="J56" i="38"/>
  <c r="I15" i="38"/>
  <c r="I7" i="20" s="1"/>
  <c r="M189" i="38"/>
  <c r="L173" i="38"/>
  <c r="J173" i="38"/>
  <c r="L27" i="21"/>
  <c r="L45" i="38"/>
  <c r="L28" i="38"/>
  <c r="N27" i="21"/>
  <c r="N45" i="38"/>
  <c r="J32" i="38"/>
  <c r="N28" i="38"/>
  <c r="I56" i="38"/>
  <c r="M32" i="38"/>
  <c r="K26" i="43"/>
  <c r="K42" i="36" s="1"/>
  <c r="I30" i="43"/>
  <c r="I43" i="36" s="1"/>
  <c r="H26" i="43"/>
  <c r="H42" i="36" s="1"/>
  <c r="K189" i="38"/>
  <c r="J15" i="38"/>
  <c r="J7" i="20" s="1"/>
  <c r="N189" i="38"/>
  <c r="I189" i="38"/>
  <c r="J27" i="21"/>
  <c r="J45" i="38"/>
  <c r="J28" i="38"/>
  <c r="K173" i="38"/>
  <c r="M27" i="21"/>
  <c r="M45" i="38"/>
  <c r="I32" i="38"/>
  <c r="G26" i="43"/>
  <c r="G42" i="36" s="1"/>
  <c r="O44" i="38"/>
  <c r="C33" i="21"/>
  <c r="O40" i="38"/>
  <c r="O81" i="38"/>
  <c r="O115" i="38"/>
  <c r="G35" i="21"/>
  <c r="O102" i="38"/>
  <c r="C29" i="21"/>
  <c r="C9" i="21" s="1"/>
  <c r="O36" i="38"/>
  <c r="O83" i="38"/>
  <c r="C32" i="21"/>
  <c r="C12" i="21" s="1"/>
  <c r="O39" i="38"/>
  <c r="O84" i="38"/>
  <c r="H35" i="21"/>
  <c r="O30" i="38"/>
  <c r="O177" i="38"/>
  <c r="O90" i="38"/>
  <c r="O78" i="38"/>
  <c r="O75" i="38"/>
  <c r="O96" i="38"/>
  <c r="O69" i="38"/>
  <c r="O99" i="38"/>
  <c r="O20" i="38"/>
  <c r="O183" i="38"/>
  <c r="O55" i="38"/>
  <c r="O105" i="38"/>
  <c r="C31" i="21"/>
  <c r="C11" i="21" s="1"/>
  <c r="O38" i="38"/>
  <c r="O175" i="38"/>
  <c r="O185" i="38"/>
  <c r="O188" i="38"/>
  <c r="O108" i="38"/>
  <c r="O181" i="38"/>
  <c r="O104" i="38"/>
  <c r="O176" i="38"/>
  <c r="O31" i="38"/>
  <c r="O93" i="38"/>
  <c r="O179" i="38"/>
  <c r="O101" i="38"/>
  <c r="O72" i="38"/>
  <c r="O92" i="38"/>
  <c r="O106" i="38"/>
  <c r="O95" i="38"/>
  <c r="O87" i="38"/>
  <c r="O109" i="38"/>
  <c r="C27" i="21"/>
  <c r="C7" i="21" s="1"/>
  <c r="O34" i="38"/>
  <c r="O103" i="38"/>
  <c r="F35" i="21"/>
  <c r="O80" i="38"/>
  <c r="O184" i="38"/>
  <c r="O49" i="38"/>
  <c r="O42" i="38"/>
  <c r="O68" i="38"/>
  <c r="O100" i="38"/>
  <c r="O74" i="38"/>
  <c r="O91" i="38"/>
  <c r="O113" i="38"/>
  <c r="O190" i="38"/>
  <c r="O73" i="38"/>
  <c r="C30" i="21"/>
  <c r="O37" i="38"/>
  <c r="O71" i="38"/>
  <c r="O89" i="38"/>
  <c r="O94" i="38"/>
  <c r="O97" i="38"/>
  <c r="C28" i="21"/>
  <c r="C8" i="21" s="1"/>
  <c r="O35" i="38"/>
  <c r="O110" i="38"/>
  <c r="O48" i="38"/>
  <c r="O52" i="38"/>
  <c r="O86" i="38"/>
  <c r="O98" i="38"/>
  <c r="C34" i="21"/>
  <c r="C14" i="21" s="1"/>
  <c r="O41" i="38"/>
  <c r="O79" i="38"/>
  <c r="O85" i="38"/>
  <c r="O51" i="38"/>
  <c r="O50" i="38"/>
  <c r="O77" i="38"/>
  <c r="O21" i="38"/>
  <c r="O82" i="38"/>
  <c r="O107" i="38"/>
  <c r="O76" i="38"/>
  <c r="O114" i="38"/>
  <c r="O178" i="38"/>
  <c r="O11" i="38"/>
  <c r="O9" i="38"/>
  <c r="O8" i="38"/>
  <c r="O13" i="38"/>
  <c r="C31" i="36"/>
  <c r="C13" i="43"/>
  <c r="E13" i="43"/>
  <c r="D31" i="36"/>
  <c r="D13" i="43"/>
  <c r="E31" i="46"/>
  <c r="D36" i="46"/>
  <c r="E36" i="46" s="1"/>
  <c r="E7" i="46"/>
  <c r="G15" i="38"/>
  <c r="G7" i="20" s="1"/>
  <c r="C49" i="36"/>
  <c r="O188" i="43"/>
  <c r="C32" i="36"/>
  <c r="O7" i="43"/>
  <c r="E15" i="38"/>
  <c r="E7" i="20" s="1"/>
  <c r="E30" i="43"/>
  <c r="E43" i="36" s="1"/>
  <c r="H15" i="38"/>
  <c r="H7" i="20" s="1"/>
  <c r="D15" i="38"/>
  <c r="D7" i="20" s="1"/>
  <c r="F15" i="38"/>
  <c r="F7" i="20" s="1"/>
  <c r="D30" i="43"/>
  <c r="D43" i="36" s="1"/>
  <c r="E6" i="46"/>
  <c r="E9" i="46"/>
  <c r="O42" i="43"/>
  <c r="O9" i="43"/>
  <c r="O41" i="43"/>
  <c r="O28" i="43"/>
  <c r="O110" i="43"/>
  <c r="O40" i="43"/>
  <c r="O11" i="43"/>
  <c r="O6" i="43"/>
  <c r="O61" i="43"/>
  <c r="F32" i="38"/>
  <c r="O173" i="43"/>
  <c r="O176" i="43"/>
  <c r="O183" i="43"/>
  <c r="O178" i="43"/>
  <c r="H28" i="38"/>
  <c r="E32" i="38"/>
  <c r="D32" i="38"/>
  <c r="O86" i="43"/>
  <c r="O87" i="43"/>
  <c r="O29" i="43"/>
  <c r="E189" i="38"/>
  <c r="O100" i="43"/>
  <c r="D173" i="38"/>
  <c r="O104" i="43"/>
  <c r="O59" i="43"/>
  <c r="O20" i="43"/>
  <c r="C187" i="43"/>
  <c r="C48" i="36" s="1"/>
  <c r="O105" i="43"/>
  <c r="O53" i="43"/>
  <c r="O84" i="43"/>
  <c r="O97" i="43"/>
  <c r="O69" i="43"/>
  <c r="O182" i="43"/>
  <c r="C30" i="43"/>
  <c r="C43" i="36" s="1"/>
  <c r="O90" i="43"/>
  <c r="O83" i="43"/>
  <c r="E187" i="43"/>
  <c r="E48" i="36" s="1"/>
  <c r="O112" i="43"/>
  <c r="O181" i="43"/>
  <c r="O82" i="43"/>
  <c r="O111" i="43"/>
  <c r="E171" i="43"/>
  <c r="E47" i="36" s="1"/>
  <c r="O62" i="43"/>
  <c r="O47" i="43"/>
  <c r="O66" i="43"/>
  <c r="C171" i="43"/>
  <c r="C47" i="36" s="1"/>
  <c r="O107" i="43"/>
  <c r="O63" i="43"/>
  <c r="D187" i="43"/>
  <c r="D48" i="36" s="1"/>
  <c r="O98" i="43"/>
  <c r="O73" i="43"/>
  <c r="O180" i="43"/>
  <c r="O89" i="43"/>
  <c r="O91" i="43"/>
  <c r="O102" i="43"/>
  <c r="O106" i="43"/>
  <c r="O114" i="43"/>
  <c r="O179" i="43"/>
  <c r="O108" i="43"/>
  <c r="O103" i="43"/>
  <c r="O115" i="43"/>
  <c r="O175" i="43"/>
  <c r="O74" i="43"/>
  <c r="O78" i="43"/>
  <c r="O72" i="43"/>
  <c r="O71" i="43"/>
  <c r="O88" i="43"/>
  <c r="O80" i="43"/>
  <c r="C54" i="43"/>
  <c r="C45" i="36" s="1"/>
  <c r="O45" i="43"/>
  <c r="O65" i="43"/>
  <c r="E26" i="43"/>
  <c r="E42" i="36" s="1"/>
  <c r="O58" i="43"/>
  <c r="O64" i="43"/>
  <c r="O49" i="43"/>
  <c r="O109" i="43"/>
  <c r="O67" i="43"/>
  <c r="O19" i="43"/>
  <c r="O174" i="43"/>
  <c r="O76" i="43"/>
  <c r="O75" i="43"/>
  <c r="O96" i="43"/>
  <c r="O60" i="43"/>
  <c r="O48" i="43"/>
  <c r="O85" i="43"/>
  <c r="D54" i="43"/>
  <c r="D45" i="36" s="1"/>
  <c r="E54" i="43"/>
  <c r="E45" i="36" s="1"/>
  <c r="O177" i="43"/>
  <c r="O113" i="43"/>
  <c r="O99" i="43"/>
  <c r="O93" i="43"/>
  <c r="C26" i="43"/>
  <c r="C42" i="36" s="1"/>
  <c r="O18" i="43"/>
  <c r="D26" i="43"/>
  <c r="D42" i="36" s="1"/>
  <c r="O92" i="43"/>
  <c r="O101" i="43"/>
  <c r="O46" i="43"/>
  <c r="O77" i="43"/>
  <c r="O70" i="43"/>
  <c r="O57" i="43"/>
  <c r="D171" i="43"/>
  <c r="D47" i="36" s="1"/>
  <c r="O79" i="43"/>
  <c r="O50" i="43"/>
  <c r="O95" i="43"/>
  <c r="O184" i="43"/>
  <c r="O81" i="43"/>
  <c r="O94" i="43"/>
  <c r="O68" i="43"/>
  <c r="F56" i="38"/>
  <c r="O23" i="21"/>
  <c r="D28" i="38"/>
  <c r="C32" i="38"/>
  <c r="F45" i="38"/>
  <c r="D45" i="38"/>
  <c r="F28" i="38"/>
  <c r="E28" i="38"/>
  <c r="H45" i="38"/>
  <c r="O24" i="21"/>
  <c r="C28" i="38"/>
  <c r="H173" i="38"/>
  <c r="D56" i="38"/>
  <c r="C56" i="38"/>
  <c r="C189" i="38"/>
  <c r="G45" i="38"/>
  <c r="C45" i="38"/>
  <c r="G28" i="38"/>
  <c r="G173" i="38"/>
  <c r="F173" i="38"/>
  <c r="D189" i="38"/>
  <c r="G56" i="38"/>
  <c r="H32" i="38"/>
  <c r="O21" i="21"/>
  <c r="C173" i="38"/>
  <c r="E45" i="38"/>
  <c r="O22" i="21"/>
  <c r="H189" i="38"/>
  <c r="G189" i="38"/>
  <c r="G32" i="38"/>
  <c r="E173" i="38"/>
  <c r="E56" i="38"/>
  <c r="F189" i="38"/>
  <c r="H56" i="38"/>
  <c r="G15" i="21" l="1"/>
  <c r="H15" i="21"/>
  <c r="F15" i="21"/>
  <c r="F33" i="43"/>
  <c r="D15" i="21"/>
  <c r="O30" i="21"/>
  <c r="C10" i="21"/>
  <c r="E15" i="21"/>
  <c r="D33" i="43"/>
  <c r="O33" i="21"/>
  <c r="C13" i="21"/>
  <c r="N35" i="21"/>
  <c r="O7" i="21"/>
  <c r="M35" i="21"/>
  <c r="L32" i="43"/>
  <c r="L15" i="21"/>
  <c r="J32" i="43"/>
  <c r="J15" i="21"/>
  <c r="I32" i="43"/>
  <c r="I15" i="21"/>
  <c r="K32" i="43"/>
  <c r="K15" i="21"/>
  <c r="C33" i="43"/>
  <c r="O8" i="21"/>
  <c r="O32" i="21"/>
  <c r="C32" i="43"/>
  <c r="C36" i="43"/>
  <c r="O36" i="43" s="1"/>
  <c r="O11" i="21"/>
  <c r="O34" i="21"/>
  <c r="C34" i="43"/>
  <c r="O9" i="21"/>
  <c r="R35" i="36"/>
  <c r="Q35" i="36"/>
  <c r="D38" i="36"/>
  <c r="H38" i="36"/>
  <c r="M38" i="36"/>
  <c r="G38" i="36"/>
  <c r="J38" i="36"/>
  <c r="I38" i="36"/>
  <c r="K38" i="36"/>
  <c r="L38" i="36"/>
  <c r="C38" i="36"/>
  <c r="F38" i="36"/>
  <c r="E38" i="36"/>
  <c r="O37" i="36"/>
  <c r="O12" i="43"/>
  <c r="O14" i="38"/>
  <c r="H25" i="21"/>
  <c r="J35" i="21"/>
  <c r="L35" i="21"/>
  <c r="K35" i="21"/>
  <c r="I35" i="21"/>
  <c r="F25" i="21"/>
  <c r="D25" i="21"/>
  <c r="O29" i="21"/>
  <c r="O28" i="21"/>
  <c r="E25" i="21"/>
  <c r="M42" i="36"/>
  <c r="K57" i="38"/>
  <c r="K191" i="38" s="1"/>
  <c r="K8" i="20" s="1"/>
  <c r="N57" i="38"/>
  <c r="N191" i="38" s="1"/>
  <c r="N8" i="20" s="1"/>
  <c r="O27" i="21"/>
  <c r="L57" i="38"/>
  <c r="L191" i="38" s="1"/>
  <c r="L8" i="20" s="1"/>
  <c r="I57" i="38"/>
  <c r="I191" i="38" s="1"/>
  <c r="I8" i="20" s="1"/>
  <c r="J57" i="38"/>
  <c r="J191" i="38" s="1"/>
  <c r="J8" i="20" s="1"/>
  <c r="M57" i="38"/>
  <c r="M191" i="38" s="1"/>
  <c r="M8" i="20" s="1"/>
  <c r="O15" i="38"/>
  <c r="O13" i="43"/>
  <c r="D35" i="21"/>
  <c r="E35" i="21"/>
  <c r="O30" i="43"/>
  <c r="O31" i="21"/>
  <c r="C35" i="21"/>
  <c r="O171" i="43"/>
  <c r="G57" i="38"/>
  <c r="O187" i="43"/>
  <c r="O26" i="43"/>
  <c r="O54" i="43"/>
  <c r="F57" i="38"/>
  <c r="F191" i="38" s="1"/>
  <c r="D57" i="38"/>
  <c r="O189" i="38"/>
  <c r="E57" i="38"/>
  <c r="E191" i="38" s="1"/>
  <c r="O173" i="38"/>
  <c r="O56" i="38"/>
  <c r="H57" i="38"/>
  <c r="O28" i="38"/>
  <c r="O32" i="38"/>
  <c r="O45" i="38"/>
  <c r="C57" i="38"/>
  <c r="C191" i="38" s="1"/>
  <c r="C38" i="43" l="1"/>
  <c r="O38" i="43" s="1"/>
  <c r="O13" i="21"/>
  <c r="C35" i="43"/>
  <c r="O10" i="21"/>
  <c r="N32" i="43"/>
  <c r="N15" i="21"/>
  <c r="M32" i="43"/>
  <c r="M15" i="21"/>
  <c r="C37" i="43"/>
  <c r="O37" i="43" s="1"/>
  <c r="O12" i="21"/>
  <c r="C39" i="43"/>
  <c r="O39" i="43" s="1"/>
  <c r="O14" i="21"/>
  <c r="C15" i="21"/>
  <c r="R37" i="36"/>
  <c r="Q37" i="36"/>
  <c r="P12" i="43"/>
  <c r="P7" i="43"/>
  <c r="O32" i="36" s="1"/>
  <c r="R32" i="36" s="1"/>
  <c r="P10" i="43"/>
  <c r="P12" i="38"/>
  <c r="P14" i="38"/>
  <c r="H43" i="43"/>
  <c r="H44" i="36" s="1"/>
  <c r="H46" i="36" s="1"/>
  <c r="H50" i="36" s="1"/>
  <c r="I43" i="43"/>
  <c r="I25" i="21"/>
  <c r="K25" i="21"/>
  <c r="L25" i="21"/>
  <c r="J25" i="21"/>
  <c r="G25" i="21"/>
  <c r="G43" i="43"/>
  <c r="F43" i="43"/>
  <c r="F44" i="36" s="1"/>
  <c r="F46" i="36" s="1"/>
  <c r="F50" i="36" s="1"/>
  <c r="D43" i="43"/>
  <c r="O17" i="21"/>
  <c r="E43" i="43"/>
  <c r="E44" i="36" s="1"/>
  <c r="E46" i="36" s="1"/>
  <c r="E50" i="36" s="1"/>
  <c r="O18" i="21"/>
  <c r="O19" i="21"/>
  <c r="P9" i="38"/>
  <c r="P13" i="43"/>
  <c r="G191" i="38"/>
  <c r="G8" i="20" s="1"/>
  <c r="D191" i="38"/>
  <c r="D8" i="20" s="1"/>
  <c r="E8" i="20"/>
  <c r="F8" i="20"/>
  <c r="H191" i="38"/>
  <c r="H8" i="20" s="1"/>
  <c r="P6" i="43"/>
  <c r="O35" i="21"/>
  <c r="P9" i="43"/>
  <c r="O34" i="36" s="1"/>
  <c r="P11" i="43"/>
  <c r="O36" i="36" s="1"/>
  <c r="C8" i="20"/>
  <c r="C10" i="20" s="1"/>
  <c r="D5" i="38"/>
  <c r="O57" i="38"/>
  <c r="O191" i="38" s="1"/>
  <c r="P15" i="38"/>
  <c r="P11" i="38"/>
  <c r="P13" i="38"/>
  <c r="P8" i="38"/>
  <c r="N43" i="43" l="1"/>
  <c r="N44" i="36" s="1"/>
  <c r="N46" i="36" s="1"/>
  <c r="N50" i="36" s="1"/>
  <c r="O15" i="21"/>
  <c r="M43" i="43"/>
  <c r="M44" i="36" s="1"/>
  <c r="M46" i="36" s="1"/>
  <c r="M50" i="36" s="1"/>
  <c r="Q32" i="36"/>
  <c r="R36" i="36"/>
  <c r="Q36" i="36"/>
  <c r="R34" i="36"/>
  <c r="Q34" i="36"/>
  <c r="P116" i="38"/>
  <c r="P122" i="38"/>
  <c r="P128" i="38"/>
  <c r="P134" i="38"/>
  <c r="P140" i="38"/>
  <c r="P146" i="38"/>
  <c r="P152" i="38"/>
  <c r="P158" i="38"/>
  <c r="P164" i="38"/>
  <c r="P170" i="38"/>
  <c r="P171" i="38"/>
  <c r="P117" i="38"/>
  <c r="P123" i="38"/>
  <c r="P129" i="38"/>
  <c r="P135" i="38"/>
  <c r="P141" i="38"/>
  <c r="P147" i="38"/>
  <c r="P153" i="38"/>
  <c r="P159" i="38"/>
  <c r="P165" i="38"/>
  <c r="P118" i="38"/>
  <c r="P124" i="38"/>
  <c r="P130" i="38"/>
  <c r="P136" i="38"/>
  <c r="P142" i="38"/>
  <c r="P148" i="38"/>
  <c r="P154" i="38"/>
  <c r="P160" i="38"/>
  <c r="P166" i="38"/>
  <c r="P172" i="38"/>
  <c r="P119" i="38"/>
  <c r="P125" i="38"/>
  <c r="P131" i="38"/>
  <c r="P137" i="38"/>
  <c r="P143" i="38"/>
  <c r="P149" i="38"/>
  <c r="P155" i="38"/>
  <c r="P161" i="38"/>
  <c r="P167" i="38"/>
  <c r="P120" i="38"/>
  <c r="P126" i="38"/>
  <c r="P132" i="38"/>
  <c r="P138" i="38"/>
  <c r="P144" i="38"/>
  <c r="P150" i="38"/>
  <c r="P156" i="38"/>
  <c r="P162" i="38"/>
  <c r="P168" i="38"/>
  <c r="P121" i="38"/>
  <c r="P127" i="38"/>
  <c r="P133" i="38"/>
  <c r="P139" i="38"/>
  <c r="P145" i="38"/>
  <c r="P151" i="38"/>
  <c r="P157" i="38"/>
  <c r="P163" i="38"/>
  <c r="P169" i="38"/>
  <c r="P187" i="38"/>
  <c r="P54" i="38"/>
  <c r="P22" i="38"/>
  <c r="P24" i="38"/>
  <c r="P26" i="38"/>
  <c r="P27" i="38"/>
  <c r="P23" i="38"/>
  <c r="P25" i="38"/>
  <c r="H55" i="43"/>
  <c r="H189" i="43" s="1"/>
  <c r="O32" i="43"/>
  <c r="J43" i="43"/>
  <c r="J44" i="36" s="1"/>
  <c r="K43" i="43"/>
  <c r="K44" i="36" s="1"/>
  <c r="K46" i="36" s="1"/>
  <c r="K50" i="36" s="1"/>
  <c r="L43" i="43"/>
  <c r="L44" i="36" s="1"/>
  <c r="L46" i="36" s="1"/>
  <c r="L50" i="36" s="1"/>
  <c r="F55" i="43"/>
  <c r="F189" i="43" s="1"/>
  <c r="G44" i="36"/>
  <c r="G46" i="36" s="1"/>
  <c r="G50" i="36" s="1"/>
  <c r="G55" i="43"/>
  <c r="G189" i="43" s="1"/>
  <c r="D44" i="36"/>
  <c r="D46" i="36" s="1"/>
  <c r="D50" i="36" s="1"/>
  <c r="D55" i="43"/>
  <c r="D189" i="43" s="1"/>
  <c r="O33" i="43"/>
  <c r="E55" i="43"/>
  <c r="E189" i="43" s="1"/>
  <c r="C43" i="43"/>
  <c r="O20" i="21"/>
  <c r="C25" i="21"/>
  <c r="O34" i="43"/>
  <c r="P53" i="38"/>
  <c r="I55" i="43"/>
  <c r="I189" i="43" s="1"/>
  <c r="I44" i="36"/>
  <c r="I46" i="36" s="1"/>
  <c r="I50" i="36" s="1"/>
  <c r="O38" i="36"/>
  <c r="O31" i="36"/>
  <c r="P190" i="38"/>
  <c r="E5" i="38"/>
  <c r="D5" i="20"/>
  <c r="D10" i="20" s="1"/>
  <c r="P182" i="38"/>
  <c r="P178" i="38"/>
  <c r="P63" i="38"/>
  <c r="P110" i="38"/>
  <c r="P80" i="38"/>
  <c r="P55" i="38"/>
  <c r="P28" i="38"/>
  <c r="P180" i="38"/>
  <c r="P111" i="38"/>
  <c r="P95" i="38"/>
  <c r="P81" i="38"/>
  <c r="P65" i="38"/>
  <c r="P46" i="38"/>
  <c r="P30" i="38"/>
  <c r="P181" i="38"/>
  <c r="P112" i="38"/>
  <c r="P96" i="38"/>
  <c r="P82" i="38"/>
  <c r="P66" i="38"/>
  <c r="P47" i="38"/>
  <c r="P31" i="38"/>
  <c r="P105" i="38"/>
  <c r="P75" i="38"/>
  <c r="P41" i="38"/>
  <c r="P175" i="38"/>
  <c r="P92" i="38"/>
  <c r="P60" i="38"/>
  <c r="P38" i="38"/>
  <c r="P184" i="38"/>
  <c r="P115" i="38"/>
  <c r="P99" i="38"/>
  <c r="P85" i="38"/>
  <c r="P69" i="38"/>
  <c r="P50" i="38"/>
  <c r="P35" i="38"/>
  <c r="P185" i="38"/>
  <c r="P100" i="38"/>
  <c r="P86" i="38"/>
  <c r="P70" i="38"/>
  <c r="P51" i="38"/>
  <c r="P36" i="38"/>
  <c r="P109" i="38"/>
  <c r="P79" i="38"/>
  <c r="P44" i="38"/>
  <c r="P179" i="38"/>
  <c r="P94" i="38"/>
  <c r="P64" i="38"/>
  <c r="P42" i="38"/>
  <c r="P189" i="38"/>
  <c r="P103" i="38"/>
  <c r="P89" i="38"/>
  <c r="P73" i="38"/>
  <c r="P56" i="38"/>
  <c r="P39" i="38"/>
  <c r="P191" i="38"/>
  <c r="P104" i="38"/>
  <c r="P90" i="38"/>
  <c r="P74" i="38"/>
  <c r="P57" i="38"/>
  <c r="P40" i="38"/>
  <c r="P20" i="38"/>
  <c r="P173" i="38"/>
  <c r="P91" i="38"/>
  <c r="P59" i="38"/>
  <c r="P106" i="38"/>
  <c r="P76" i="38"/>
  <c r="P45" i="38"/>
  <c r="P21" i="38"/>
  <c r="P176" i="38"/>
  <c r="P107" i="38"/>
  <c r="P93" i="38"/>
  <c r="P77" i="38"/>
  <c r="P61" i="38"/>
  <c r="P177" i="38"/>
  <c r="P108" i="38"/>
  <c r="P78" i="38"/>
  <c r="P62" i="38"/>
  <c r="P43" i="38"/>
  <c r="P186" i="38"/>
  <c r="P97" i="38"/>
  <c r="P102" i="38"/>
  <c r="P52" i="38"/>
  <c r="P68" i="38"/>
  <c r="P183" i="38"/>
  <c r="P83" i="38"/>
  <c r="P88" i="38"/>
  <c r="P37" i="38"/>
  <c r="P101" i="38"/>
  <c r="P49" i="38"/>
  <c r="P114" i="38"/>
  <c r="P67" i="38"/>
  <c r="P72" i="38"/>
  <c r="P188" i="38"/>
  <c r="P87" i="38"/>
  <c r="P34" i="38"/>
  <c r="P98" i="38"/>
  <c r="P48" i="38"/>
  <c r="P113" i="38"/>
  <c r="P71" i="38"/>
  <c r="P84" i="38"/>
  <c r="P32" i="38"/>
  <c r="N55" i="43" l="1"/>
  <c r="N189" i="43" s="1"/>
  <c r="M55" i="43"/>
  <c r="M189" i="43" s="1"/>
  <c r="J55" i="43"/>
  <c r="J189" i="43" s="1"/>
  <c r="L55" i="43"/>
  <c r="L189" i="43" s="1"/>
  <c r="K55" i="43"/>
  <c r="K189" i="43" s="1"/>
  <c r="O35" i="43"/>
  <c r="O43" i="43" s="1"/>
  <c r="O55" i="43" s="1"/>
  <c r="O189" i="43" s="1"/>
  <c r="C44" i="36"/>
  <c r="C46" i="36" s="1"/>
  <c r="C50" i="36" s="1"/>
  <c r="C55" i="43"/>
  <c r="C189" i="43" s="1"/>
  <c r="O25" i="21"/>
  <c r="C36" i="21"/>
  <c r="D5" i="21" s="1"/>
  <c r="D36" i="21" s="1"/>
  <c r="E5" i="21" s="1"/>
  <c r="E36" i="21" s="1"/>
  <c r="F5" i="21" s="1"/>
  <c r="F36" i="21" s="1"/>
  <c r="G5" i="21" s="1"/>
  <c r="G36" i="21" s="1"/>
  <c r="H5" i="21" s="1"/>
  <c r="H36" i="21" s="1"/>
  <c r="I5" i="21" s="1"/>
  <c r="I36" i="21" s="1"/>
  <c r="J5" i="21" s="1"/>
  <c r="J36" i="21" s="1"/>
  <c r="K5" i="21" s="1"/>
  <c r="K36" i="21" s="1"/>
  <c r="L5" i="21" s="1"/>
  <c r="L36" i="21" s="1"/>
  <c r="M5" i="21" s="1"/>
  <c r="M36" i="21" s="1"/>
  <c r="N5" i="21" s="1"/>
  <c r="N36" i="21" s="1"/>
  <c r="R31" i="36"/>
  <c r="Q31" i="36"/>
  <c r="R38" i="36"/>
  <c r="Q38" i="36"/>
  <c r="F5" i="38"/>
  <c r="E5" i="20"/>
  <c r="E10" i="20" s="1"/>
  <c r="P116" i="43" l="1"/>
  <c r="P122" i="43"/>
  <c r="P128" i="43"/>
  <c r="P134" i="43"/>
  <c r="P140" i="43"/>
  <c r="P146" i="43"/>
  <c r="P152" i="43"/>
  <c r="P158" i="43"/>
  <c r="P164" i="43"/>
  <c r="P117" i="43"/>
  <c r="P123" i="43"/>
  <c r="P129" i="43"/>
  <c r="P135" i="43"/>
  <c r="P141" i="43"/>
  <c r="P147" i="43"/>
  <c r="P153" i="43"/>
  <c r="P159" i="43"/>
  <c r="P165" i="43"/>
  <c r="P118" i="43"/>
  <c r="P124" i="43"/>
  <c r="P130" i="43"/>
  <c r="P136" i="43"/>
  <c r="P142" i="43"/>
  <c r="P148" i="43"/>
  <c r="P154" i="43"/>
  <c r="P160" i="43"/>
  <c r="P166" i="43"/>
  <c r="P119" i="43"/>
  <c r="P125" i="43"/>
  <c r="P131" i="43"/>
  <c r="P137" i="43"/>
  <c r="P143" i="43"/>
  <c r="P149" i="43"/>
  <c r="P155" i="43"/>
  <c r="P161" i="43"/>
  <c r="P167" i="43"/>
  <c r="P168" i="43"/>
  <c r="P120" i="43"/>
  <c r="P126" i="43"/>
  <c r="P132" i="43"/>
  <c r="P138" i="43"/>
  <c r="P144" i="43"/>
  <c r="P150" i="43"/>
  <c r="P156" i="43"/>
  <c r="P162" i="43"/>
  <c r="P169" i="43"/>
  <c r="P121" i="43"/>
  <c r="P127" i="43"/>
  <c r="P133" i="43"/>
  <c r="P139" i="43"/>
  <c r="P145" i="43"/>
  <c r="P151" i="43"/>
  <c r="P157" i="43"/>
  <c r="P163" i="43"/>
  <c r="P170" i="43"/>
  <c r="P21" i="43"/>
  <c r="P23" i="43"/>
  <c r="P25" i="43"/>
  <c r="P22" i="43"/>
  <c r="P24" i="43"/>
  <c r="P185" i="43"/>
  <c r="P52" i="43"/>
  <c r="P89" i="43"/>
  <c r="P186" i="43"/>
  <c r="P49" i="43"/>
  <c r="P19" i="43"/>
  <c r="P88" i="43"/>
  <c r="P81" i="43"/>
  <c r="P75" i="43"/>
  <c r="P180" i="43"/>
  <c r="P59" i="43"/>
  <c r="P67" i="43"/>
  <c r="P100" i="43"/>
  <c r="P57" i="43"/>
  <c r="P93" i="43"/>
  <c r="P70" i="43"/>
  <c r="P60" i="43"/>
  <c r="P69" i="43"/>
  <c r="P51" i="43"/>
  <c r="P175" i="43"/>
  <c r="P18" i="43"/>
  <c r="P110" i="43"/>
  <c r="P62" i="43"/>
  <c r="P85" i="43"/>
  <c r="P35" i="43"/>
  <c r="P65" i="43"/>
  <c r="P32" i="43"/>
  <c r="P94" i="43"/>
  <c r="P103" i="43"/>
  <c r="P179" i="43"/>
  <c r="P92" i="43"/>
  <c r="P86" i="43"/>
  <c r="P71" i="43"/>
  <c r="P181" i="43"/>
  <c r="P28" i="43"/>
  <c r="P72" i="43"/>
  <c r="P111" i="43"/>
  <c r="P83" i="43"/>
  <c r="P104" i="43"/>
  <c r="P80" i="43"/>
  <c r="P34" i="43"/>
  <c r="P101" i="43"/>
  <c r="P29" i="43"/>
  <c r="P106" i="43"/>
  <c r="P74" i="43"/>
  <c r="P45" i="43"/>
  <c r="P109" i="43"/>
  <c r="P53" i="43"/>
  <c r="P36" i="43"/>
  <c r="P112" i="43"/>
  <c r="P20" i="43"/>
  <c r="P77" i="43"/>
  <c r="P38" i="43"/>
  <c r="P64" i="43"/>
  <c r="P178" i="43"/>
  <c r="P54" i="43"/>
  <c r="O45" i="36" s="1"/>
  <c r="R45" i="36" s="1"/>
  <c r="P98" i="43"/>
  <c r="P66" i="43"/>
  <c r="P73" i="43"/>
  <c r="P177" i="43"/>
  <c r="P50" i="43"/>
  <c r="P115" i="43"/>
  <c r="P46" i="43"/>
  <c r="P76" i="43"/>
  <c r="P39" i="43"/>
  <c r="P176" i="43"/>
  <c r="P79" i="43"/>
  <c r="P87" i="43"/>
  <c r="P114" i="43"/>
  <c r="P82" i="43"/>
  <c r="P174" i="43"/>
  <c r="P43" i="43"/>
  <c r="O44" i="36" s="1"/>
  <c r="R44" i="36" s="1"/>
  <c r="P78" i="43"/>
  <c r="P84" i="43"/>
  <c r="P47" i="43"/>
  <c r="P173" i="43"/>
  <c r="P26" i="43"/>
  <c r="P90" i="43"/>
  <c r="P107" i="43"/>
  <c r="P63" i="43"/>
  <c r="P99" i="43"/>
  <c r="P33" i="43"/>
  <c r="P113" i="43"/>
  <c r="P58" i="43"/>
  <c r="P42" i="43"/>
  <c r="P187" i="43"/>
  <c r="O48" i="36" s="1"/>
  <c r="P183" i="43"/>
  <c r="P96" i="43"/>
  <c r="P171" i="43"/>
  <c r="O47" i="36" s="1"/>
  <c r="R47" i="36" s="1"/>
  <c r="P91" i="43"/>
  <c r="P61" i="43"/>
  <c r="P189" i="43"/>
  <c r="P184" i="43"/>
  <c r="P182" i="43"/>
  <c r="P55" i="43"/>
  <c r="P30" i="43"/>
  <c r="O43" i="36" s="1"/>
  <c r="R43" i="36" s="1"/>
  <c r="P40" i="43"/>
  <c r="P37" i="43"/>
  <c r="P105" i="43"/>
  <c r="P102" i="43"/>
  <c r="P188" i="43"/>
  <c r="O49" i="36" s="1"/>
  <c r="R49" i="36" s="1"/>
  <c r="P95" i="43"/>
  <c r="P108" i="43"/>
  <c r="P68" i="43"/>
  <c r="P48" i="43"/>
  <c r="P41" i="43"/>
  <c r="P97" i="43"/>
  <c r="J46" i="36"/>
  <c r="O42" i="36"/>
  <c r="F5" i="20"/>
  <c r="F10" i="20" s="1"/>
  <c r="G5" i="38"/>
  <c r="G5" i="20" s="1"/>
  <c r="R48" i="36" l="1"/>
  <c r="Q48" i="36"/>
  <c r="Q44" i="36"/>
  <c r="Q45" i="36"/>
  <c r="Q47" i="36"/>
  <c r="Q43" i="36"/>
  <c r="Q49" i="36"/>
  <c r="R42" i="36"/>
  <c r="Q42" i="36"/>
  <c r="J50" i="36"/>
  <c r="O46" i="36"/>
  <c r="D14" i="20"/>
  <c r="H5" i="38"/>
  <c r="G10" i="20"/>
  <c r="Q46" i="36" l="1"/>
  <c r="D40" i="46"/>
  <c r="C45" i="46" s="1"/>
  <c r="D41" i="46"/>
  <c r="C46" i="46" s="1"/>
  <c r="O50" i="36"/>
  <c r="R46" i="36"/>
  <c r="H5" i="20"/>
  <c r="H10" i="20" s="1"/>
  <c r="I5" i="38"/>
  <c r="R50" i="36" l="1"/>
  <c r="Q50" i="36"/>
  <c r="J5" i="38"/>
  <c r="I5" i="20"/>
  <c r="I10" i="20" s="1"/>
  <c r="K5" i="38" l="1"/>
  <c r="J5" i="20"/>
  <c r="J10" i="20" s="1"/>
  <c r="L5" i="38" l="1"/>
  <c r="K5" i="20"/>
  <c r="K10" i="20" s="1"/>
  <c r="M5" i="38" l="1"/>
  <c r="L5" i="20"/>
  <c r="L10" i="20" s="1"/>
  <c r="N5" i="38" l="1"/>
  <c r="M5" i="20"/>
  <c r="M10" i="20" s="1"/>
  <c r="N5" i="20" l="1"/>
  <c r="N10" i="20" s="1"/>
  <c r="D17" i="20" l="1"/>
  <c r="D18" i="20" s="1"/>
  <c r="I20" i="20" s="1"/>
</calcChain>
</file>

<file path=xl/sharedStrings.xml><?xml version="1.0" encoding="utf-8"?>
<sst xmlns="http://schemas.openxmlformats.org/spreadsheetml/2006/main" count="25759" uniqueCount="3851">
  <si>
    <t>Material de Escritorio</t>
  </si>
  <si>
    <t>Salários</t>
  </si>
  <si>
    <t>Aluguel</t>
  </si>
  <si>
    <t>IPTU</t>
  </si>
  <si>
    <t>FGTS</t>
  </si>
  <si>
    <t>TOTAL</t>
  </si>
  <si>
    <t>Vale Alimentação</t>
  </si>
  <si>
    <t>Estagiários</t>
  </si>
  <si>
    <t>Seguro de Vida</t>
  </si>
  <si>
    <t>Assessoria Jurídica</t>
  </si>
  <si>
    <t>FGTS Multa Rescisória</t>
  </si>
  <si>
    <t>2.1.1</t>
  </si>
  <si>
    <t>2.1.2</t>
  </si>
  <si>
    <t>2.1.3</t>
  </si>
  <si>
    <t>2.1.4</t>
  </si>
  <si>
    <t>1.1</t>
  </si>
  <si>
    <t>2.2.1</t>
  </si>
  <si>
    <t>2.2.2</t>
  </si>
  <si>
    <t>2.2.3</t>
  </si>
  <si>
    <t>2.2.4</t>
  </si>
  <si>
    <t>2.2.5</t>
  </si>
  <si>
    <t>__________________________________</t>
  </si>
  <si>
    <t>Período Avaliatório</t>
  </si>
  <si>
    <t>2.3.2</t>
  </si>
  <si>
    <t>2.3.3</t>
  </si>
  <si>
    <t>2.3.4</t>
  </si>
  <si>
    <t>2.3.5</t>
  </si>
  <si>
    <t>2.3.6</t>
  </si>
  <si>
    <t>2.3.7</t>
  </si>
  <si>
    <t>2.3.1</t>
  </si>
  <si>
    <t>Data de Aquisição</t>
  </si>
  <si>
    <t>Fornecedor</t>
  </si>
  <si>
    <t>Nota Fiscal</t>
  </si>
  <si>
    <t>Carga-Horária 
(Semanal)</t>
  </si>
  <si>
    <t>Categoria</t>
  </si>
  <si>
    <t>Forma de Contratação</t>
  </si>
  <si>
    <t>Encargos</t>
  </si>
  <si>
    <t>Benefícios</t>
  </si>
  <si>
    <t>2.1</t>
  </si>
  <si>
    <t>2.2</t>
  </si>
  <si>
    <t>2.3</t>
  </si>
  <si>
    <t>Subcategoria</t>
  </si>
  <si>
    <t>T</t>
  </si>
  <si>
    <t>(T)</t>
  </si>
  <si>
    <t>(E)</t>
  </si>
  <si>
    <t>(C)</t>
  </si>
  <si>
    <t>Tipo do Documento</t>
  </si>
  <si>
    <t>Subtotal (Pessoal):</t>
  </si>
  <si>
    <t>Vinculação ao Objeto / Justificativa</t>
  </si>
  <si>
    <t>CNPJ - CPF (Favorecido)</t>
  </si>
  <si>
    <t>Plano Odontológico</t>
  </si>
  <si>
    <t>Cesta Básica</t>
  </si>
  <si>
    <t>Assessoria Contábil</t>
  </si>
  <si>
    <t>Cartório</t>
  </si>
  <si>
    <t>Correios e Telégrafos</t>
  </si>
  <si>
    <t>Lanches e Refeiçoes</t>
  </si>
  <si>
    <t>Estacionamento</t>
  </si>
  <si>
    <t>Taxi</t>
  </si>
  <si>
    <t>Seguros de Imóveis</t>
  </si>
  <si>
    <t>Assinatura de Certificado Digital</t>
  </si>
  <si>
    <t>Taxas Municipais, Estaduais e Federais</t>
  </si>
  <si>
    <t>Taxa de Expediente</t>
  </si>
  <si>
    <t>Juros e Multas</t>
  </si>
  <si>
    <t>Despesas Bancárias</t>
  </si>
  <si>
    <t>Veículos</t>
  </si>
  <si>
    <t>Número do Patrimônio</t>
  </si>
  <si>
    <t>Descrição Completa</t>
  </si>
  <si>
    <t>Nº do Documento</t>
  </si>
  <si>
    <t>Forma de Pagamento</t>
  </si>
  <si>
    <t>Outros Benefícios</t>
  </si>
  <si>
    <t>Uniformes</t>
  </si>
  <si>
    <t>Combustível</t>
  </si>
  <si>
    <t>Água e Esgoto</t>
  </si>
  <si>
    <t>Energia Elétrica</t>
  </si>
  <si>
    <t>Serviços de Motoboy</t>
  </si>
  <si>
    <t>Locação de Veículos</t>
  </si>
  <si>
    <t>Serviços Gráficos</t>
  </si>
  <si>
    <t>Material Pedagógico/Didático</t>
  </si>
  <si>
    <t>Serviços de Mão-de-obra Terceirizada</t>
  </si>
  <si>
    <t>Fretes e Carretos</t>
  </si>
  <si>
    <t>Locação de Equipamentos e Máquinas</t>
  </si>
  <si>
    <t>Salários e Remunerações</t>
  </si>
  <si>
    <t>Outros Gastos com Pessoal</t>
  </si>
  <si>
    <t>Localização do Bem</t>
  </si>
  <si>
    <t>(G)</t>
  </si>
  <si>
    <t>Nº Lançto</t>
  </si>
  <si>
    <t>Eventos</t>
  </si>
  <si>
    <t>Cursos</t>
  </si>
  <si>
    <t>2.1.1.1</t>
  </si>
  <si>
    <t>2.1.1.2</t>
  </si>
  <si>
    <t>2.1.1.3</t>
  </si>
  <si>
    <t>2.1.1.4</t>
  </si>
  <si>
    <t>2.1.1.5</t>
  </si>
  <si>
    <t>Subtotal Salários :</t>
  </si>
  <si>
    <t>2.1.2.1</t>
  </si>
  <si>
    <t>Subtotal Estagiários:</t>
  </si>
  <si>
    <t>2.1.3.1</t>
  </si>
  <si>
    <t>2.1.4.1</t>
  </si>
  <si>
    <t>2.1.4.2</t>
  </si>
  <si>
    <t>2.1.4.3</t>
  </si>
  <si>
    <t>2.1.4.4</t>
  </si>
  <si>
    <t>2.1.4.5</t>
  </si>
  <si>
    <t>Subtotal Encargos Trabalhistas:</t>
  </si>
  <si>
    <t>Subtotal Benefícios:</t>
  </si>
  <si>
    <t>2.2.6</t>
  </si>
  <si>
    <t>2.2.7</t>
  </si>
  <si>
    <t>2.2.8</t>
  </si>
  <si>
    <t>2.2.9</t>
  </si>
  <si>
    <t>2.2.10</t>
  </si>
  <si>
    <t>2.2.11</t>
  </si>
  <si>
    <t>2.2.12</t>
  </si>
  <si>
    <t>2.2.13</t>
  </si>
  <si>
    <t>2.2.14</t>
  </si>
  <si>
    <t>2.2.15</t>
  </si>
  <si>
    <t>2.2.16</t>
  </si>
  <si>
    <t>2.2.17</t>
  </si>
  <si>
    <t>2.2.18</t>
  </si>
  <si>
    <t>2.2.19</t>
  </si>
  <si>
    <t>2.2.20</t>
  </si>
  <si>
    <t>2.2.21</t>
  </si>
  <si>
    <t>2.2.22</t>
  </si>
  <si>
    <t>2.2.23</t>
  </si>
  <si>
    <t>2.2.24</t>
  </si>
  <si>
    <t>2.2.25</t>
  </si>
  <si>
    <t>2.3.8</t>
  </si>
  <si>
    <t>2.3.9</t>
  </si>
  <si>
    <t>2.3.10</t>
  </si>
  <si>
    <t>Material de Copa e Cozinha</t>
  </si>
  <si>
    <t>2.3.11</t>
  </si>
  <si>
    <t>Material de Limpeza</t>
  </si>
  <si>
    <t>2.3.12</t>
  </si>
  <si>
    <t>2.3.13</t>
  </si>
  <si>
    <t>Aquisição de Bens Permanentes</t>
  </si>
  <si>
    <t>2.2.26</t>
  </si>
  <si>
    <t>2.2.27</t>
  </si>
  <si>
    <t>2.2.28</t>
  </si>
  <si>
    <t>2.2.29</t>
  </si>
  <si>
    <t>2.2.30</t>
  </si>
  <si>
    <t>2.2.31</t>
  </si>
  <si>
    <t>2.2.32</t>
  </si>
  <si>
    <t>2.2.33</t>
  </si>
  <si>
    <t>2.2.34</t>
  </si>
  <si>
    <t>Condomínio</t>
  </si>
  <si>
    <t>Entrada de Recursos</t>
  </si>
  <si>
    <t>Saída de Recursos</t>
  </si>
  <si>
    <t>Previsto
(-) Realizado</t>
  </si>
  <si>
    <t>Previsto</t>
  </si>
  <si>
    <t>Realizado</t>
  </si>
  <si>
    <t>Vale Transporte</t>
  </si>
  <si>
    <t>Valor</t>
  </si>
  <si>
    <t>Telefone Fixo</t>
  </si>
  <si>
    <t>Telefone Móvel</t>
  </si>
  <si>
    <t>Data do Documento</t>
  </si>
  <si>
    <t>Outras Receitas</t>
  </si>
  <si>
    <t>Celetista</t>
  </si>
  <si>
    <t>Adicional Noturno</t>
  </si>
  <si>
    <t>2.1.4.6</t>
  </si>
  <si>
    <t>2.1.4.7</t>
  </si>
  <si>
    <t>2.1.3.2</t>
  </si>
  <si>
    <t>Rescisão de Trabalho (Saldo Salário, Aviso Prévio, outros)</t>
  </si>
  <si>
    <t>Despesas Sindicais</t>
  </si>
  <si>
    <t>Consultoria</t>
  </si>
  <si>
    <t>Serviços de Segurança</t>
  </si>
  <si>
    <t>Medicina e Segurança do Trabalho</t>
  </si>
  <si>
    <t>Serviços de Internet (Web Design, Hospedagem de Site, outros)</t>
  </si>
  <si>
    <t>Justificativa para a aquisição</t>
  </si>
  <si>
    <t>Gastos com Pessoal</t>
  </si>
  <si>
    <t>Internet</t>
  </si>
  <si>
    <t>Publicidade, Comunicação e Marketing</t>
  </si>
  <si>
    <t>Assinatura de Periódicos e Aquisição de Livros</t>
  </si>
  <si>
    <t>Aquisição e Suporte em Softwares</t>
  </si>
  <si>
    <t>Manutenção e Reparos em Redes e Computadores</t>
  </si>
  <si>
    <t>Serviços de Instalação e Manutenção Elétrica e Hidráulica</t>
  </si>
  <si>
    <t>Manutenção e Reparos em Ar Condicionado</t>
  </si>
  <si>
    <t>Serviços de Entrega/Recarga de Vale Transportes</t>
  </si>
  <si>
    <t>2.2.35</t>
  </si>
  <si>
    <t>2.2.36</t>
  </si>
  <si>
    <t>2.2.37</t>
  </si>
  <si>
    <t>2.2.38</t>
  </si>
  <si>
    <t>2.2.39</t>
  </si>
  <si>
    <t>2.2.40</t>
  </si>
  <si>
    <t>2.2.41</t>
  </si>
  <si>
    <t>2.2.42</t>
  </si>
  <si>
    <t>2.2.43</t>
  </si>
  <si>
    <t>2.2.44</t>
  </si>
  <si>
    <t>2.2.45</t>
  </si>
  <si>
    <t>2.2.46</t>
  </si>
  <si>
    <t>2.2.47</t>
  </si>
  <si>
    <t>2.2.48</t>
  </si>
  <si>
    <t>Locação de Veículos com Motorista</t>
  </si>
  <si>
    <t>2.2.49</t>
  </si>
  <si>
    <t>2.2.50</t>
  </si>
  <si>
    <t>2.2.51</t>
  </si>
  <si>
    <t>2.2.52</t>
  </si>
  <si>
    <t>IPVA/Seguro Obrigatório/Licenciamento</t>
  </si>
  <si>
    <t>2.2.53</t>
  </si>
  <si>
    <t>Seguro de Veículos</t>
  </si>
  <si>
    <t>2.2.54</t>
  </si>
  <si>
    <t>Manutenção em Veículos</t>
  </si>
  <si>
    <t>2.2.55</t>
  </si>
  <si>
    <t>2.2.56</t>
  </si>
  <si>
    <t>Despesas de Viagem - Passagem Terrestre</t>
  </si>
  <si>
    <t>2.2.57</t>
  </si>
  <si>
    <t>2.2.58</t>
  </si>
  <si>
    <t>2.2.59</t>
  </si>
  <si>
    <t>2.2.60</t>
  </si>
  <si>
    <t>Serviços de Registro/Produção Audiovisual</t>
  </si>
  <si>
    <t>Locação de Espaço</t>
  </si>
  <si>
    <t>Coleção e Materiais Bibliográficos</t>
  </si>
  <si>
    <t>Equipamentos de Comunicação e Telefonia</t>
  </si>
  <si>
    <t>Equipamentos de Informática</t>
  </si>
  <si>
    <t>Equipamentos de Segurança Eletrônica</t>
  </si>
  <si>
    <t>Equipamentos de Som, Vídeo, Fotográfico e Cinematográfico</t>
  </si>
  <si>
    <t>Instrumentos Musicais e Artísticos</t>
  </si>
  <si>
    <t>Máquinas, Aparelhos, Utensílios e Equip. de Uso Administrativo</t>
  </si>
  <si>
    <t>Máquinas, Aparelhos, Utensílios e Equipamentos de Uso Industrial</t>
  </si>
  <si>
    <t>Material Didático</t>
  </si>
  <si>
    <t>Material Esportivo e Recreativo</t>
  </si>
  <si>
    <t>Mobiliário</t>
  </si>
  <si>
    <t>Outros Materiais Permanentes</t>
  </si>
  <si>
    <t>(S)</t>
  </si>
  <si>
    <t>(SR)</t>
  </si>
  <si>
    <t>2.1.3.3</t>
  </si>
  <si>
    <t>2.1.3.4</t>
  </si>
  <si>
    <t>2.1.3.5</t>
  </si>
  <si>
    <t>2.1.3.6</t>
  </si>
  <si>
    <t>2.1.3.7</t>
  </si>
  <si>
    <t>2.1.3.8</t>
  </si>
  <si>
    <t>2.1.3.9</t>
  </si>
  <si>
    <t>2.1.3.10</t>
  </si>
  <si>
    <t>2.1.3.11</t>
  </si>
  <si>
    <t>Bolsa Estágio</t>
  </si>
  <si>
    <t>2.1.2.2</t>
  </si>
  <si>
    <t>Auxílio Transporte</t>
  </si>
  <si>
    <t>INSS Patronal</t>
  </si>
  <si>
    <t>Serviços de Montagem e Desmontagem de Mobiliário</t>
  </si>
  <si>
    <t>Material de Informática</t>
  </si>
  <si>
    <t>(S) Total de Saídas:</t>
  </si>
  <si>
    <t>(E) Total de Entradas:</t>
  </si>
  <si>
    <t>(SF)</t>
  </si>
  <si>
    <t>Recursos Comprometidos</t>
  </si>
  <si>
    <t>(S) Total de Saídas</t>
  </si>
  <si>
    <t>Subtotal Pessoal:</t>
  </si>
  <si>
    <t>(E) Total de Entradas</t>
  </si>
  <si>
    <t>Buffet</t>
  </si>
  <si>
    <t>PIS</t>
  </si>
  <si>
    <t>13º Salário</t>
  </si>
  <si>
    <t>1/3 de Férias</t>
  </si>
  <si>
    <t>Gastos Gerais</t>
  </si>
  <si>
    <t>Valor (R$)</t>
  </si>
  <si>
    <t>Total</t>
  </si>
  <si>
    <t>Entrada de Provisionamentos com Pessoal</t>
  </si>
  <si>
    <t>Total de Entradas</t>
  </si>
  <si>
    <t>Transporte de Provisionamentos Anteriores</t>
  </si>
  <si>
    <t>Provisionamento do Período</t>
  </si>
  <si>
    <t>Provisonamentos de Pessoal</t>
  </si>
  <si>
    <t>(PP)</t>
  </si>
  <si>
    <t>Data
Pgto</t>
  </si>
  <si>
    <t>Mês
Comp.</t>
  </si>
  <si>
    <r>
      <rPr>
        <sz val="9"/>
        <rFont val="Arial"/>
        <family val="2"/>
      </rPr>
      <t>N</t>
    </r>
    <r>
      <rPr>
        <b/>
        <sz val="9"/>
        <rFont val="Arial"/>
        <family val="2"/>
      </rPr>
      <t>º</t>
    </r>
  </si>
  <si>
    <t>Mês de
Comp.</t>
  </si>
  <si>
    <t>Férias</t>
  </si>
  <si>
    <t>Valor de Aquisição</t>
  </si>
  <si>
    <t>Tabela 1 - Resumo das Movimentações Financeiras no Período em Regime de Caixa</t>
  </si>
  <si>
    <t>Transporte de Saldo Acumulado (SA)</t>
  </si>
  <si>
    <t>Realizado
(/) Previsto</t>
  </si>
  <si>
    <t>Tabela 2 - Comparativo entre Receitas e Gastos Previstos e Realizados no Período em Regime de Competência</t>
  </si>
  <si>
    <t>Outros Encargos Trabalhistas</t>
  </si>
  <si>
    <t>Outros Gastos Gerais</t>
  </si>
  <si>
    <t>Total de Entradas de Recursos</t>
  </si>
  <si>
    <t>Total de Saídas de Recursos</t>
  </si>
  <si>
    <t>Despesas de Viagem</t>
  </si>
  <si>
    <t>Gastos do Provisionamentos com Pessoal</t>
  </si>
  <si>
    <t>Total de Gastos</t>
  </si>
  <si>
    <t>Cancelamento de Provisionamentos com Pessoal</t>
  </si>
  <si>
    <t>Total de Cancelamentos</t>
  </si>
  <si>
    <t>Apropriação às Atividades</t>
  </si>
  <si>
    <t>Área Fim</t>
  </si>
  <si>
    <t>Área Meio</t>
  </si>
  <si>
    <t>Nº</t>
  </si>
  <si>
    <t>N/A</t>
  </si>
  <si>
    <t>Destinação</t>
  </si>
  <si>
    <t>%</t>
  </si>
  <si>
    <t>Tabela 4 - Demonstrativo Analítico das Receitas e Gastos Mensais em Regime de Caixa</t>
  </si>
  <si>
    <t>Tabela 5 - Demonstrativo Analítico das Receitas e Gastos Mensais em Regime de Competência</t>
  </si>
  <si>
    <t>2.4</t>
  </si>
  <si>
    <t>1.2</t>
  </si>
  <si>
    <t>Plano de Saúde</t>
  </si>
  <si>
    <t>Auditoria Externa</t>
  </si>
  <si>
    <t>Serviços de Manutenção em Equipamentos e Máquinas</t>
  </si>
  <si>
    <t>Despesas de Viagem - Passagem Aérea</t>
  </si>
  <si>
    <t>a</t>
  </si>
  <si>
    <t>2.1.4.8</t>
  </si>
  <si>
    <t>Bem Estar Social</t>
  </si>
  <si>
    <t>Estagiário</t>
  </si>
  <si>
    <t>Cargo Previsto na Memória de Cálculo</t>
  </si>
  <si>
    <t>Nome</t>
  </si>
  <si>
    <t>CPF</t>
  </si>
  <si>
    <t>Salário Contratado / Bolsa Estágio total da pessoa</t>
  </si>
  <si>
    <t>Local de Trabalho</t>
  </si>
  <si>
    <t>Data de Admissão</t>
  </si>
  <si>
    <t>Data de Demissão
(Se ocorrida no ano)</t>
  </si>
  <si>
    <t>Tabela 6 - Demonstrativo Mensal dos Recursos Provisionados com Pessoal</t>
  </si>
  <si>
    <t>Tabela 8 - Demonstrativo dos Recursos Comprometidos ao Final do Período</t>
  </si>
  <si>
    <t>1º Relatório Gerencial Financeiro</t>
  </si>
  <si>
    <t>2º Relatório Gerencial Financeiro</t>
  </si>
  <si>
    <t>3º Relatório Gerencial Financeiro</t>
  </si>
  <si>
    <t>4º Relatório Gerencial Financeiro</t>
  </si>
  <si>
    <t>Atenção: Não publicar esta Tabela nos sítios eletrônicos devido à Lei Geral de Proteção de Dados</t>
  </si>
  <si>
    <t>5º Relatório Gerencial Financeiro</t>
  </si>
  <si>
    <t>6º Relatório Gerencial Financeiro</t>
  </si>
  <si>
    <t>7º Relatório Gerencial Financeiro</t>
  </si>
  <si>
    <t>8º Relatório Gerencial Financeiro</t>
  </si>
  <si>
    <t>9º Relatório Gerencial Financeiro</t>
  </si>
  <si>
    <t>10º Relatório Gerencial Financeiro</t>
  </si>
  <si>
    <t>11º Relatório Gerencial Financeiro</t>
  </si>
  <si>
    <t>12º Relatório Gerencial Financeiro</t>
  </si>
  <si>
    <t>13º Relatório Gerencial Financeiro</t>
  </si>
  <si>
    <t>14º Relatório Gerencial Financeiro</t>
  </si>
  <si>
    <t>15º Relatório Gerencial Financeiro</t>
  </si>
  <si>
    <t>16º Relatório Gerencial Financeiro</t>
  </si>
  <si>
    <t>17º Relatório Gerencial Financeiro</t>
  </si>
  <si>
    <t>18º Relatório Gerencial Financeiro</t>
  </si>
  <si>
    <t>19º Relatório Gerencial Financeiro</t>
  </si>
  <si>
    <t>20º Relatório Gerencial Financeiro</t>
  </si>
  <si>
    <t>21º Relatório Gerencial Financeiro</t>
  </si>
  <si>
    <t>22º Relatório Gerencial Financeiro</t>
  </si>
  <si>
    <t>23º Relatório Gerencial Financeiro</t>
  </si>
  <si>
    <t>24º Relatório Gerencial Financeiro</t>
  </si>
  <si>
    <t>Realizado (/) Previsto</t>
  </si>
  <si>
    <t>Adiantamento de Recursos de Repasse Anterior:</t>
  </si>
  <si>
    <t>(AR)</t>
  </si>
  <si>
    <t>1.3</t>
  </si>
  <si>
    <t>1.3.1</t>
  </si>
  <si>
    <t>Receitas Arrecadadas Previstas</t>
  </si>
  <si>
    <t>1.3.2</t>
  </si>
  <si>
    <t>Rendimentos Fin. c/ Destinação Específica</t>
  </si>
  <si>
    <t>1.3.3</t>
  </si>
  <si>
    <t>Repasses</t>
  </si>
  <si>
    <t>Rendimentos Fin.</t>
  </si>
  <si>
    <t>DSR Adicional Noturno</t>
  </si>
  <si>
    <t>Horas Extras</t>
  </si>
  <si>
    <t>DSR Horas Extras</t>
  </si>
  <si>
    <t>2.1.1.6</t>
  </si>
  <si>
    <t>Adicional Periculosidade</t>
  </si>
  <si>
    <t>2.1.1.7</t>
  </si>
  <si>
    <t>Gratificação de função</t>
  </si>
  <si>
    <t>2.1.1.8</t>
  </si>
  <si>
    <t>Subtotal Aquisição de Bens:</t>
  </si>
  <si>
    <t>Partituras</t>
  </si>
  <si>
    <t>2.3.14</t>
  </si>
  <si>
    <t>Cessão de Imagem</t>
  </si>
  <si>
    <t>2.1.4.9</t>
  </si>
  <si>
    <t>Receitas Arrecadadas</t>
  </si>
  <si>
    <t>Subtotal Receitas:</t>
  </si>
  <si>
    <t>Subtotal: Gastos Gerais</t>
  </si>
  <si>
    <t>Subtotal Gastos Gerais:</t>
  </si>
  <si>
    <t>% do Total</t>
  </si>
  <si>
    <t>Saldo</t>
  </si>
  <si>
    <t>Transporte de Saldo</t>
  </si>
  <si>
    <t>Transferência para Reserva</t>
  </si>
  <si>
    <t>Gastos da Reserva</t>
  </si>
  <si>
    <t>Rendimentos Fin da Reserva</t>
  </si>
  <si>
    <t>Distribuição Gerencial dos Recursos</t>
  </si>
  <si>
    <t>Saldo Financeiro  (Somatório)</t>
  </si>
  <si>
    <t>Saldo Financeiro Apurado (T+E-S)</t>
  </si>
  <si>
    <t>Transporte de Saldo Financeiro Anterior</t>
  </si>
  <si>
    <t>Saldo Remanescente (SF-PP-C-AR)</t>
  </si>
  <si>
    <t>Composição do Saldo Financeiro (SF)</t>
  </si>
  <si>
    <t>CONFERENCIA (Saldo Existente - Apurado)</t>
  </si>
  <si>
    <t>Movimentação da Reserva de Recursos</t>
  </si>
  <si>
    <t>Saldo Extrato C/C</t>
  </si>
  <si>
    <t>Saldo Fundo Fixo</t>
  </si>
  <si>
    <t>( = ) Saldo Financeiro</t>
  </si>
  <si>
    <t>Destinação dos Gastos Gerais e de Pessoal</t>
  </si>
  <si>
    <t>Destinação dos Gastos de Pessoal</t>
  </si>
  <si>
    <t>Atividades</t>
  </si>
  <si>
    <t>Saldo Extrato CI 2</t>
  </si>
  <si>
    <t>Saldo Extrato CI 1</t>
  </si>
  <si>
    <t>Nome do Favorecido</t>
  </si>
  <si>
    <t>Tabela 3 - Demonstrativo dos Gastos das Atividades</t>
  </si>
  <si>
    <t>Tabela 7 - Lista de Bens Permanentes Adquiridos no Ano</t>
  </si>
  <si>
    <t>Salário Contratado / Bolsa Estágio custeado pela parceria</t>
  </si>
  <si>
    <t>Termo de Parceria</t>
  </si>
  <si>
    <t>DECLARAÇÃO DE VERACIDADE</t>
  </si>
  <si>
    <t>Tabela 9 - Diário de Entradas e Saídas</t>
  </si>
  <si>
    <t>Tabela 10 - Diário de Entradas e Saídas da Reserva de Recursos</t>
  </si>
  <si>
    <t>25º Relatório Gerencial Financeiro</t>
  </si>
  <si>
    <t>26º Relatório Gerencial Financeiro</t>
  </si>
  <si>
    <t>27º Relatório Gerencial Financeiro</t>
  </si>
  <si>
    <t>28º Relatório Gerencial Financeiro</t>
  </si>
  <si>
    <t>29º Relatório Gerencial Financeiro</t>
  </si>
  <si>
    <t>30º Relatório Gerencial Financeiro</t>
  </si>
  <si>
    <t>31º Relatório Gerencial Financeiro</t>
  </si>
  <si>
    <t>32º Relatório Gerencial Financeiro</t>
  </si>
  <si>
    <t>33º Relatório Gerencial Financeiro</t>
  </si>
  <si>
    <t>34º Relatório Gerencial Financeiro</t>
  </si>
  <si>
    <t>Relatório Financeiro 2024</t>
  </si>
  <si>
    <t>Contrato de Gestão</t>
  </si>
  <si>
    <t>Relatório Gerencial Financeiro | Belo Horizonte | Versão 4.1 | dezembro | 2024 |</t>
  </si>
  <si>
    <t>1º Relatório Financeiro</t>
  </si>
  <si>
    <t>2º Relatório Financeiro</t>
  </si>
  <si>
    <t>3º Relatório Financeiro</t>
  </si>
  <si>
    <t>4º Relatório Financeiro</t>
  </si>
  <si>
    <t>5º Relatório Financeiro</t>
  </si>
  <si>
    <t>6º Relatório Financeiro</t>
  </si>
  <si>
    <t>7º Relatório Financeiro</t>
  </si>
  <si>
    <t>8º Relatório Financeiro</t>
  </si>
  <si>
    <t>9º Relatório Financeiro</t>
  </si>
  <si>
    <t>10º Relatório Financeiro</t>
  </si>
  <si>
    <t>11º Relatório Financeiro</t>
  </si>
  <si>
    <t>12º Relatório Financeiro</t>
  </si>
  <si>
    <t>13º Relatório Financeiro</t>
  </si>
  <si>
    <t>14º Relatório Financeiro</t>
  </si>
  <si>
    <t>15º Relatório Financeiro</t>
  </si>
  <si>
    <t>16º Relatório Financeiro</t>
  </si>
  <si>
    <t>17º Relatório Financeiro</t>
  </si>
  <si>
    <t>18º Relatório Financeiro</t>
  </si>
  <si>
    <t>19º Relatório Financeiro</t>
  </si>
  <si>
    <t>20º Relatório Financeiro</t>
  </si>
  <si>
    <t>21º Relatório Financeiro</t>
  </si>
  <si>
    <t>22º Relatório Financeiro</t>
  </si>
  <si>
    <t>23º Relatório Financeiro</t>
  </si>
  <si>
    <t>24º Relatório Financeiro</t>
  </si>
  <si>
    <t>25º Relatório Financeiro</t>
  </si>
  <si>
    <t>26º Relatório Financeiro</t>
  </si>
  <si>
    <t>27º Relatório Financeiro</t>
  </si>
  <si>
    <t>28º Relatório Financeiro</t>
  </si>
  <si>
    <t>29º Relatório Financeiro</t>
  </si>
  <si>
    <t>30º Relatório Financeiro</t>
  </si>
  <si>
    <t>31º Relatório Financeiro</t>
  </si>
  <si>
    <t>32º Relatório Financeiro</t>
  </si>
  <si>
    <t>33º Relatório Financeiro</t>
  </si>
  <si>
    <t>34º Relatório Financeiro</t>
  </si>
  <si>
    <t>35º Relatório Gerencial Financeiro</t>
  </si>
  <si>
    <t>35º Relatório Financeiro</t>
  </si>
  <si>
    <t>36º Relatório Gerencial Financeiro</t>
  </si>
  <si>
    <t>36º Relatório Financeiro</t>
  </si>
  <si>
    <t>37º Relatório Gerencial Financeiro</t>
  </si>
  <si>
    <t>37º Relatório Financeiro</t>
  </si>
  <si>
    <t>38º Relatório Gerencial Financeiro</t>
  </si>
  <si>
    <t>38º Relatório Financeiro</t>
  </si>
  <si>
    <t>39º Relatório Gerencial Financeiro</t>
  </si>
  <si>
    <t>39º Relatório Financeiro</t>
  </si>
  <si>
    <t>40º Relatório Gerencial Financeiro</t>
  </si>
  <si>
    <t>40º Relatório Financeiro</t>
  </si>
  <si>
    <t>Relatório Financeiro 2018</t>
  </si>
  <si>
    <t>Relatório Financeiro 2019</t>
  </si>
  <si>
    <t>Relatório Financeiro 2020</t>
  </si>
  <si>
    <t>Relatório Financeiro 2021</t>
  </si>
  <si>
    <t>Relatório Financeiro 2022</t>
  </si>
  <si>
    <t>Relatório Financeiro 2023</t>
  </si>
  <si>
    <t>Rescisão de Trabalho</t>
  </si>
  <si>
    <t xml:space="preserve">Relatórios Qualitativos </t>
  </si>
  <si>
    <t>Bolsa Academia</t>
  </si>
  <si>
    <t>Serviços de Limpeza e Conservação,</t>
  </si>
  <si>
    <t>IRFF Cont. Individual</t>
  </si>
  <si>
    <t>Outras Despesas Administrativas</t>
  </si>
  <si>
    <t>Aluguel e Manut. de Equip. Reprográficos</t>
  </si>
  <si>
    <t>Assessoria de Imigração/ Traduções</t>
  </si>
  <si>
    <t>Assessoria de Gestão Projetos Culturais</t>
  </si>
  <si>
    <t>Outras Assessorias</t>
  </si>
  <si>
    <t>Distribuição de Cartazes, Folders, Etc</t>
  </si>
  <si>
    <t>Assessoria de Imprensa</t>
  </si>
  <si>
    <t>Agência de Publicidade</t>
  </si>
  <si>
    <t>Desenvolvimento de Textos/ Artes</t>
  </si>
  <si>
    <t>Desenvolvimento de Audios</t>
  </si>
  <si>
    <t>Desenvolvimento de Vídeos (Edição)</t>
  </si>
  <si>
    <t>Rádio/ Internet</t>
  </si>
  <si>
    <t>Televisão/ Cinema</t>
  </si>
  <si>
    <t>Revista/ Outdoor /Jornal</t>
  </si>
  <si>
    <t>Serviços de Reprodução Gráfica</t>
  </si>
  <si>
    <t>Captação de Vídeo</t>
  </si>
  <si>
    <t>Fotografia</t>
  </si>
  <si>
    <t>Captação de Audio</t>
  </si>
  <si>
    <t>Brigada de Incêndio para Eventos</t>
  </si>
  <si>
    <t>Segurança Patrimonial</t>
  </si>
  <si>
    <t>Vigilância Patrimonial</t>
  </si>
  <si>
    <t>Transporte Terrestre</t>
  </si>
  <si>
    <t>Seguro de Carga</t>
  </si>
  <si>
    <t>Carro Executivo</t>
  </si>
  <si>
    <t>Ônibus/ Van</t>
  </si>
  <si>
    <t>Locação de Palcos e Tendas</t>
  </si>
  <si>
    <t>Locação de Cadeiras</t>
  </si>
  <si>
    <t>Locação de Grades Disciplinadoras</t>
  </si>
  <si>
    <t>Locação de Banheiros Químicos</t>
  </si>
  <si>
    <t>Locação de Ambulâncias</t>
  </si>
  <si>
    <t>Locação de Espaços</t>
  </si>
  <si>
    <t>Locação de Instrumentos Musicais</t>
  </si>
  <si>
    <t>Locação de Outros Equipamentos</t>
  </si>
  <si>
    <t>Regencia Musical (Maestro)</t>
  </si>
  <si>
    <t>Solistas e Regentes Convidados</t>
  </si>
  <si>
    <t>Complementação Orquestra (Músico Cachê)</t>
  </si>
  <si>
    <t>Recepção a Solistas e Maestro</t>
  </si>
  <si>
    <t>Recepcionistas para Eventos</t>
  </si>
  <si>
    <t>Passagens</t>
  </si>
  <si>
    <t>Hospedagens</t>
  </si>
  <si>
    <t>Alimentação</t>
  </si>
  <si>
    <t>Aluguel/Licença de Obras/Partituras</t>
  </si>
  <si>
    <t>Serviços de Buffet</t>
  </si>
  <si>
    <t>Manutenção de Instrumentos</t>
  </si>
  <si>
    <t>Ecad</t>
  </si>
  <si>
    <t>Desp. Gerenciamento e Vendas Ingressos/A</t>
  </si>
  <si>
    <t>Serviço de Sonorização e Iluminação</t>
  </si>
  <si>
    <t>Outras Despesas com Produção de Concerto</t>
  </si>
  <si>
    <t>Material de Consumo</t>
  </si>
  <si>
    <t>Serviços de Manutenção e Reparos</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</si>
  <si>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</si>
  <si>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</si>
  <si>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</si>
  <si>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</si>
  <si>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</si>
  <si>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</si>
  <si>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</si>
  <si>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</si>
  <si>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</si>
  <si>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</si>
  <si>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</si>
  <si>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</si>
  <si>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</si>
  <si>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</si>
  <si>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</si>
  <si>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</si>
  <si>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</si>
  <si>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</si>
  <si>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</si>
  <si>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</si>
  <si>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</si>
  <si>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</si>
  <si>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</si>
  <si>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</si>
  <si>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</si>
  <si>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</si>
  <si>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</si>
  <si>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</si>
  <si>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</si>
  <si>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</si>
  <si>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</si>
  <si>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</si>
  <si>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</si>
  <si>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</si>
  <si>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</si>
  <si>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</si>
  <si>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</si>
  <si>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</si>
  <si>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</si>
  <si>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2.2.100</t>
  </si>
  <si>
    <t>2.2.101</t>
  </si>
  <si>
    <t>2.2.102</t>
  </si>
  <si>
    <t>2.2.103</t>
  </si>
  <si>
    <t>2.2.104</t>
  </si>
  <si>
    <t>2.2.105</t>
  </si>
  <si>
    <t>2.2.106</t>
  </si>
  <si>
    <t>2.2.107</t>
  </si>
  <si>
    <t>2.2.108</t>
  </si>
  <si>
    <t>2.2.109</t>
  </si>
  <si>
    <t>2.2.110</t>
  </si>
  <si>
    <t>2.2.111</t>
  </si>
  <si>
    <t>2.2.112</t>
  </si>
  <si>
    <t>2.2.113</t>
  </si>
  <si>
    <t>2.2.114</t>
  </si>
  <si>
    <t>Conta Bancária - Fonte de Recursos</t>
  </si>
  <si>
    <t>Movimentação das Contas Bancárias</t>
  </si>
  <si>
    <t>Saldo C/C</t>
  </si>
  <si>
    <t>Saldo CI 1</t>
  </si>
  <si>
    <t>Saldo CI 2</t>
  </si>
  <si>
    <t>Soma dos Saldos</t>
  </si>
  <si>
    <t>Comprometidos</t>
  </si>
  <si>
    <t>Saldo Remanescente</t>
  </si>
  <si>
    <t>Fonte de Recursos</t>
  </si>
  <si>
    <t>nº06/2020</t>
  </si>
  <si>
    <t xml:space="preserve">Secretaria Estadual de Cultura e Instituto Cultural Filarmonica </t>
  </si>
  <si>
    <t>00519-3 - Contrato de Gestão</t>
  </si>
  <si>
    <t>00267-9 - Provisionamento</t>
  </si>
  <si>
    <t>00268-7 - Prestação de Serviços</t>
  </si>
  <si>
    <t>00837-9 - Captação Estadual</t>
  </si>
  <si>
    <t>58134-8 - Captação Federal</t>
  </si>
  <si>
    <t>Depósitos Judiciais</t>
  </si>
  <si>
    <t>01/01/2025</t>
  </si>
  <si>
    <t>04/01/2025</t>
  </si>
  <si>
    <t>05/11/2024</t>
  </si>
  <si>
    <t>MEDICINA E SEGURANÇA DO TRABALHO</t>
  </si>
  <si>
    <t>RÁDIO/ INTERNET</t>
  </si>
  <si>
    <t>FÉRIAS</t>
  </si>
  <si>
    <t>VALE TRANSPORTE</t>
  </si>
  <si>
    <t>OUTROS BENEFÍCIOS</t>
  </si>
  <si>
    <t>VALE ALIMENTAÇÃO</t>
  </si>
  <si>
    <t>OUTRAS RECEITAS</t>
  </si>
  <si>
    <t>TAXI</t>
  </si>
  <si>
    <t>RECEPÇÃO A SOLISTAS E MAESTRO</t>
  </si>
  <si>
    <t>ALUGUEL/LICENÇA DE OBRAS/PARTITURAS</t>
  </si>
  <si>
    <t>OUTRAS DESPESAS COM PRODUÇÃO DE CONCERTO</t>
  </si>
  <si>
    <t>SERVIÇOS DE REPRODUÇÃO GRÁFICA</t>
  </si>
  <si>
    <t>REGENCIA MUSICAL (MAESTRO)</t>
  </si>
  <si>
    <t>SERVIÇO DE SONORIZAÇÃO E ILUMINAÇÃO</t>
  </si>
  <si>
    <t>SERVIÇOS DE MANUTENÇÃO E REPAROS</t>
  </si>
  <si>
    <t>ASSESSORIA DE IMPRENSA</t>
  </si>
  <si>
    <t>MATERIAL DE CONSUMO</t>
  </si>
  <si>
    <t>COMPLEMENTAÇÃO ORQUESTRA (MÚSICO CACHÊ)</t>
  </si>
  <si>
    <t>CARRO EXECUTIVO</t>
  </si>
  <si>
    <t>DESENVOLVIMENTO DE AUDIOS</t>
  </si>
  <si>
    <t>ASSESSORIA JURÍDICA</t>
  </si>
  <si>
    <t>AUDITORIA EXTERNA</t>
  </si>
  <si>
    <t>PLANO DE SAÚDE</t>
  </si>
  <si>
    <t>DESP. GERENCIAMENTO E VENDAS INGRESSOS/A</t>
  </si>
  <si>
    <t>OUTRAS DESPESAS ADMINISTRATIVAS</t>
  </si>
  <si>
    <t>DESENVOLVIMENTO DE TEXTOS/ ARTES</t>
  </si>
  <si>
    <t>ALIMENTAÇÃO</t>
  </si>
  <si>
    <t>OUTRAS ASSESSORIAS</t>
  </si>
  <si>
    <t>CORREIOS E TELÉGRAFOS</t>
  </si>
  <si>
    <t>PASSAGENS</t>
  </si>
  <si>
    <t xml:space="preserve">OCUPACIONAL - MEDICINA DO TRABALHO LTDA.                    </t>
  </si>
  <si>
    <t>26231266000139</t>
  </si>
  <si>
    <t xml:space="preserve">THE ROCKET SCIENCE GROUP, LLC (MAILCHIMP)                   </t>
  </si>
  <si>
    <t xml:space="preserve">FACEBOOK                                                    </t>
  </si>
  <si>
    <t>13347016000117</t>
  </si>
  <si>
    <t xml:space="preserve">APPLE COMPUTER BRASIL LTDA                                  </t>
  </si>
  <si>
    <t>00623904000335</t>
  </si>
  <si>
    <t xml:space="preserve">TRANSFACIL                                                  </t>
  </si>
  <si>
    <t>04398505000107</t>
  </si>
  <si>
    <t xml:space="preserve">ALELO S.A                                                   </t>
  </si>
  <si>
    <t>04740876000125</t>
  </si>
  <si>
    <t xml:space="preserve">CONSORCIO OTIMO                                             </t>
  </si>
  <si>
    <t>10426715000164</t>
  </si>
  <si>
    <t xml:space="preserve">BANCO ITAÚCARD S.A.                                         </t>
  </si>
  <si>
    <t>17192451000170</t>
  </si>
  <si>
    <t xml:space="preserve">WP ENGINE, INC                                              </t>
  </si>
  <si>
    <t xml:space="preserve">SEARCH &amp; FILTER PRO.                                        </t>
  </si>
  <si>
    <t xml:space="preserve">GOOGLE BRASIL INTERNET LTDA.                                </t>
  </si>
  <si>
    <t>06990590000123</t>
  </si>
  <si>
    <t xml:space="preserve">UBER DO BRASIL TECNOLOGIA LTDA.                             </t>
  </si>
  <si>
    <t>17895646000187</t>
  </si>
  <si>
    <t>HOSTGATOR BRASIL HOSPEDAGEM E SUPORTE TECNICO PARA PAGINAS D</t>
  </si>
  <si>
    <t>08852780000100</t>
  </si>
  <si>
    <t xml:space="preserve">NAXOS DIGITAL SERVICES LTD                                  </t>
  </si>
  <si>
    <t xml:space="preserve">PREFEITURA MUNICIPAL DE BELO HORIZONTE                      </t>
  </si>
  <si>
    <t>18715383000140</t>
  </si>
  <si>
    <t>JUSTICA FEDERAL DE PRIMEIRO GRAU/MG - SUBSECAO JUDICIARIA DE</t>
  </si>
  <si>
    <t>08412834000116</t>
  </si>
  <si>
    <t xml:space="preserve">CLARO NXT TELECOMUNICACOES S/A                              </t>
  </si>
  <si>
    <t>66970229002100</t>
  </si>
  <si>
    <t xml:space="preserve">TELEFONICA BRASIL S.A.                                      </t>
  </si>
  <si>
    <t>02558157000910</t>
  </si>
  <si>
    <t xml:space="preserve">DOLABELLA ADVOCACIA E CONSULTORIA                           </t>
  </si>
  <si>
    <t>08215660000100</t>
  </si>
  <si>
    <t xml:space="preserve">ABRACE UMA CAUSA GESTAO E SERVICOS LTDA                     </t>
  </si>
  <si>
    <t>26246070000118</t>
  </si>
  <si>
    <t xml:space="preserve">CAIXA ECONOMICA FEDERAL                                     </t>
  </si>
  <si>
    <t>00360305000104</t>
  </si>
  <si>
    <t xml:space="preserve">VISUAL SISTEMAS ELETRONICOS LTDA                            </t>
  </si>
  <si>
    <t>23921349000161</t>
  </si>
  <si>
    <t xml:space="preserve">CONTROLE TECNOLOGIA EM BIOMETRIA LTDA                       </t>
  </si>
  <si>
    <t>11277858000114</t>
  </si>
  <si>
    <t xml:space="preserve">COMPANHIA DE DESENVOLVIMENTO DE MINAS GERAIS - CODEMGE      </t>
  </si>
  <si>
    <t>29768219000117</t>
  </si>
  <si>
    <t xml:space="preserve">UNIMED BH - MENSALIDADE                                     </t>
  </si>
  <si>
    <t>16513178000176</t>
  </si>
  <si>
    <t xml:space="preserve">UNIMED BH                                                   </t>
  </si>
  <si>
    <t xml:space="preserve">CONAPE SERVICOS LTDA                                        </t>
  </si>
  <si>
    <t>16669442000165</t>
  </si>
  <si>
    <t xml:space="preserve">RB INFORMATICA LTDA                                         </t>
  </si>
  <si>
    <t>08250034000146</t>
  </si>
  <si>
    <t>OLIVEIRA ANDRADE SERVICOS DE MONITORAMENTO DE INFORMACOES LT</t>
  </si>
  <si>
    <t>07290137000177</t>
  </si>
  <si>
    <t xml:space="preserve">SAFE CYBER SOLUCOES EM SEGURANCA DA INFORMACAO LTDA         </t>
  </si>
  <si>
    <t>32107065000127</t>
  </si>
  <si>
    <t xml:space="preserve">ALGAR TELECOM S/A                                           </t>
  </si>
  <si>
    <t>71208516000174</t>
  </si>
  <si>
    <t xml:space="preserve">MINISTERIO DA FAZENDA                                       </t>
  </si>
  <si>
    <t>16907746000113</t>
  </si>
  <si>
    <t xml:space="preserve">DHL EXPRESS (BRAZIL) LTDA                                   </t>
  </si>
  <si>
    <t>58890252000385</t>
  </si>
  <si>
    <t xml:space="preserve">MINISTERIO DA ECONOMIA                                      </t>
  </si>
  <si>
    <t>00394460005887</t>
  </si>
  <si>
    <t>A FUNDACAO CDL-BH PARA O DESENVOLVIMENTO SOCIAL DA CRIANCA E</t>
  </si>
  <si>
    <t>22441463000121</t>
  </si>
  <si>
    <t xml:space="preserve">E-MASTER TECNOLOGIA LTDA                                    </t>
  </si>
  <si>
    <t>19043292000178</t>
  </si>
  <si>
    <t xml:space="preserve">SANKHYA GESTAO DE NEGOCIOS                                  </t>
  </si>
  <si>
    <t>26314062000161</t>
  </si>
  <si>
    <t xml:space="preserve">EMPRESA BRASILEIRA DE CORREIOS E TELEGRAFOS                 </t>
  </si>
  <si>
    <t xml:space="preserve">CAROLINA MORAES PINTO COELHO DE SANTANA                     </t>
  </si>
  <si>
    <t xml:space="preserve">11151194603   </t>
  </si>
  <si>
    <t>23823212000174</t>
  </si>
  <si>
    <t xml:space="preserve">ROTTALOG LOGISTICA E DISTRIBUICAO LTDA                      </t>
  </si>
  <si>
    <t>12852039000116</t>
  </si>
  <si>
    <t xml:space="preserve">NOVOS TEMPOS VIAGENS LTDA                                   </t>
  </si>
  <si>
    <t>37790050000120</t>
  </si>
  <si>
    <t xml:space="preserve">PAO DE CASA COMERCIO E INDUSTRIA LTDA - EPP                 </t>
  </si>
  <si>
    <t>21101654000181</t>
  </si>
  <si>
    <t xml:space="preserve">BANCO ITAÚ                                                  </t>
  </si>
  <si>
    <t>60701190000104</t>
  </si>
  <si>
    <t xml:space="preserve">LARISSA FELIPE DA COSTA SILVA                               </t>
  </si>
  <si>
    <t>50891786000152</t>
  </si>
  <si>
    <t xml:space="preserve">ORPLAN AUDITORES INDEPENDENTES                              </t>
  </si>
  <si>
    <t>17171307000158</t>
  </si>
  <si>
    <t xml:space="preserve">CAETE SISTEMA DE COMUNICACAO LIMITADA                       </t>
  </si>
  <si>
    <t>23970247000136</t>
  </si>
  <si>
    <t xml:space="preserve">LOJA ELETRICA LIMITADA                                      </t>
  </si>
  <si>
    <t>17155342001074</t>
  </si>
  <si>
    <t xml:space="preserve">TUTORI SEGURANCA ARMADA E VIGILANCIA EIRELI                 </t>
  </si>
  <si>
    <t>24975944000142</t>
  </si>
  <si>
    <t xml:space="preserve">MUNDIVOX DO BRASIL LTDA                                     </t>
  </si>
  <si>
    <t>03580510000173</t>
  </si>
  <si>
    <t>BOLETO BANCARIO</t>
  </si>
  <si>
    <t>PAG. ELETRONICO</t>
  </si>
  <si>
    <t>COMPENSACAO EMPRES/ADIANTAMENT</t>
  </si>
  <si>
    <t>TED</t>
  </si>
  <si>
    <t>PIX</t>
  </si>
  <si>
    <t>RPS ITAUCARD IOF - CARTÃO</t>
  </si>
  <si>
    <t>DINHEIRO -ESPÉCIE</t>
  </si>
  <si>
    <t>DEPÓSITO</t>
  </si>
  <si>
    <t>GUIA ISSQN - FORNECEDORES</t>
  </si>
  <si>
    <t>IRRF - APLIC FINAN - RPS</t>
  </si>
  <si>
    <t>ISSQN  PROPRIO VIA DEPOSITO</t>
  </si>
  <si>
    <t>IRRF - APLIC FINAN - TP</t>
  </si>
  <si>
    <t>IOF - APLIC FINAN - TP</t>
  </si>
  <si>
    <t>AGUA/LUZ/TELEFONE</t>
  </si>
  <si>
    <t>GUIA FGTS</t>
  </si>
  <si>
    <t>CREDITO CT CORRENTE</t>
  </si>
  <si>
    <t>COFINS S/ RECEITA DEPOSITOS</t>
  </si>
  <si>
    <t>DARF (PIS COFINS CSLL)</t>
  </si>
  <si>
    <t>DARF IR 1708</t>
  </si>
  <si>
    <t>DARF INSS</t>
  </si>
  <si>
    <t>DARF IR 3280</t>
  </si>
  <si>
    <t>DARF - PIS FOPAG</t>
  </si>
  <si>
    <t>COMPENSACAO FINANCEIRA</t>
  </si>
  <si>
    <t>REMESSA EXTERIOR</t>
  </si>
  <si>
    <t>RENDIMENTO APLIC FINAN - RPS</t>
  </si>
  <si>
    <t>RENDIMENTO APLIC FINAN - CG</t>
  </si>
  <si>
    <t>IRRF - APLIC FINAN - CG</t>
  </si>
  <si>
    <t>IRRF - APLIC FINAN - LF</t>
  </si>
  <si>
    <t>RENDIMENTO APLIC FIN LE MANUT</t>
  </si>
  <si>
    <t>RENDIMENTO APLIC FIN - LF</t>
  </si>
  <si>
    <t>RENDIMENTO APLIC FINAN - TP</t>
  </si>
  <si>
    <t xml:space="preserve">SUPRIMENTO DE CAIXA RPS                 </t>
  </si>
  <si>
    <t>Produção Artística</t>
  </si>
  <si>
    <t>Comunicação</t>
  </si>
  <si>
    <t>Despesas com o Centro Cultural Itamar Franco</t>
  </si>
  <si>
    <t>Diretor Presidente</t>
  </si>
  <si>
    <t>CAIXA ECONOMICA FEDERAL</t>
  </si>
  <si>
    <t>11/02/2025</t>
  </si>
  <si>
    <t>CARTÓRIO</t>
  </si>
  <si>
    <t>DESENVOLVIMENTO DE VÍDEOS (EDIÇÃO)</t>
  </si>
  <si>
    <t xml:space="preserve">INSTITUTO CULTURAL FILARMONICA                              </t>
  </si>
  <si>
    <t xml:space="preserve">CARTÓRIO JAGUARÃO                                           </t>
  </si>
  <si>
    <t>21856596000104</t>
  </si>
  <si>
    <t xml:space="preserve">PANIFICADORA E CONFEITARIA PAO SUPER CARLOS PRATES LTDA     </t>
  </si>
  <si>
    <t>58026298000199</t>
  </si>
  <si>
    <t xml:space="preserve">PLM ATACADO DE SUPRIMENTOS PARA ESCRITORIO LTDA             </t>
  </si>
  <si>
    <t>06338304000140</t>
  </si>
  <si>
    <t>34028316000103</t>
  </si>
  <si>
    <t>IOF - DOAÇÃO EXTERIOR - RPS</t>
  </si>
  <si>
    <t>IOF - APLIC FINAN - CG</t>
  </si>
  <si>
    <t xml:space="preserve">MN CONSERVADORA E PRESTADORA DE SERVICOS LTDA               </t>
  </si>
  <si>
    <t>24574851000106</t>
  </si>
  <si>
    <t xml:space="preserve">IT.ART TECNOLOGIA S/A (TX INGRESSO AVULSO)                  </t>
  </si>
  <si>
    <t>ÔNIBUS/ VAN</t>
  </si>
  <si>
    <t>VIGILÂNCIA PATRIMONIAL</t>
  </si>
  <si>
    <t>XXX312660001XX</t>
  </si>
  <si>
    <t>XXX077460001XX</t>
  </si>
  <si>
    <t>XXX944600058XX</t>
  </si>
  <si>
    <t>COMPANHIA DE DESENVOLVIMENTO DE MINAS GERAIS - CODEMGE</t>
  </si>
  <si>
    <t>Depósito judicial de Impostos referentes à Importação de 2 pianos. Até o 18o RGF esse lançamento era registrado na aba de depósitos judiciais</t>
  </si>
  <si>
    <t>Depósito judicial de Impostos referentes à Importação de cadeiras e praticáveis. Até o 18o RGF esse lançamento era registrado na aba de depósitos judiciais</t>
  </si>
  <si>
    <t>Depósito judicial de Impostos referentes à Importação de cadeiras para os músicos. Até o 18o RGF esse lançamento era registrado na aba de depósitos judiciais</t>
  </si>
  <si>
    <t>Depósito judicial de Impostos referentes à Importação da Harpa. Até o 18o RGF esse lançamento era registrado na aba de depósitos judiciais</t>
  </si>
  <si>
    <t>Depósito judicial de Impostos referentes à Importação de cinco tímpanos. Até o 18o RGF esse lançamento era registrado na aba de depósitos judiciais</t>
  </si>
  <si>
    <t>XXX305000104XX</t>
  </si>
  <si>
    <t>XXX682190001XX</t>
  </si>
  <si>
    <t xml:space="preserve">00000000000   </t>
  </si>
  <si>
    <t xml:space="preserve">BANCO DO BRASIL S/A                                         </t>
  </si>
  <si>
    <t>00000000513814</t>
  </si>
  <si>
    <t>00000000000000</t>
  </si>
  <si>
    <t xml:space="preserve">TRIBUNAL DE JUSTICA DO ESTADO DE MINAS GERAIS               </t>
  </si>
  <si>
    <t>21154554000113</t>
  </si>
  <si>
    <t xml:space="preserve">BRUNO EDUARDO SILVA LOPES DE AGUIAR                         </t>
  </si>
  <si>
    <t xml:space="preserve">12201050660   </t>
  </si>
  <si>
    <t xml:space="preserve">CAMILA CAMPOS VIANNA GONCALVES                              </t>
  </si>
  <si>
    <t xml:space="preserve">01454537663   </t>
  </si>
  <si>
    <t>LOCAÇÃO DE BANHEIROS QUÍMICOS</t>
  </si>
  <si>
    <t>22/05/2025</t>
  </si>
  <si>
    <t xml:space="preserve">CLAUDIA DA SILVA GUIMARAES                                  </t>
  </si>
  <si>
    <t xml:space="preserve">58951881687   </t>
  </si>
  <si>
    <t xml:space="preserve">ELISETE GOMES JOAQUIM DE OLIVEIRA                           </t>
  </si>
  <si>
    <t>31964548000185</t>
  </si>
  <si>
    <t>Contratação de impulsionamento de conteúdo no Facebook a fim de aumentar o alcance das publicações do perfil da Orquestra Filarmônica de Minas Gerais em 2025 entre os meses de março e dezembro.</t>
  </si>
  <si>
    <t>24/06/2025</t>
  </si>
  <si>
    <t>01/06/2025</t>
  </si>
  <si>
    <t xml:space="preserve">IVAR HARTVIG HUITFELDT SIEWERS                              </t>
  </si>
  <si>
    <t xml:space="preserve">01220396885   </t>
  </si>
  <si>
    <t xml:space="preserve">AGENOR OLIVEIRA CARVALHO                                    </t>
  </si>
  <si>
    <t xml:space="preserve">27711327889   </t>
  </si>
  <si>
    <t xml:space="preserve">ELLEN CAROLINE DA SILVEIRA 34989220000101                   </t>
  </si>
  <si>
    <t xml:space="preserve">12850057673   </t>
  </si>
  <si>
    <t xml:space="preserve">FORMESPACO MOVEIS E INSTALACOES LTDA. - EPP                 </t>
  </si>
  <si>
    <t>20549945000174</t>
  </si>
  <si>
    <t>00861-9 - Captação Estadual</t>
  </si>
  <si>
    <t>Transferencia de rendimentos de aplicação para conta reserva</t>
  </si>
  <si>
    <t>Rateio de Condominio</t>
  </si>
  <si>
    <t>14/07/2025</t>
  </si>
  <si>
    <t>25/07/2025</t>
  </si>
  <si>
    <t>DISTRIBUIÇÃO DE CARTAZES, FOLDERS, ETC</t>
  </si>
  <si>
    <t xml:space="preserve">THOMSON REUTERS BRASIL CONTEUDO E TECNOLOGIA LTDA           </t>
  </si>
  <si>
    <t>00910509001305</t>
  </si>
  <si>
    <t xml:space="preserve">SRM FESTAS E LOCACOES LTDA                                  </t>
  </si>
  <si>
    <t>34952850000101</t>
  </si>
  <si>
    <t xml:space="preserve">WALTER GABRIEL GAMA SOUZA                                   </t>
  </si>
  <si>
    <t xml:space="preserve">10116195630   </t>
  </si>
  <si>
    <t>11/08/2025</t>
  </si>
  <si>
    <t>21/08/2025</t>
  </si>
  <si>
    <t xml:space="preserve">Contratação de transporte executivo para atendimento a solistas e regentes convidados.
</t>
  </si>
  <si>
    <t>03/09/2025</t>
  </si>
  <si>
    <t xml:space="preserve">JOAO CARLOS FERREIRA LEITE JUNIOR                           </t>
  </si>
  <si>
    <t xml:space="preserve">01459744640   </t>
  </si>
  <si>
    <t>Aluguel de partituras para o concerto Fora de Série VI (29 de novembro). Obra: Stravinsky - O pássaro de fogo. Regente: José Soares.</t>
  </si>
  <si>
    <t>Aluguel de partituras para os concertos Presto X e Veloce X (4 e 5 de dezembro). Obra: Shostakovich - Sinfonia n.7. Regente: Fabio Mechetti</t>
  </si>
  <si>
    <t xml:space="preserve">JUSSAN FERNANDES DOS SANTOS                                 </t>
  </si>
  <si>
    <t xml:space="preserve">31766617620   </t>
  </si>
  <si>
    <t>IOF - APLIC FINAN - LF</t>
  </si>
  <si>
    <t>Aluguel de partituras para os concertos Allegro IX e Vivace IX (20 e 21 de novembro). Obra: Gliere - Concerto para trompa. Solista: Alma Liebrecht. Regente: Carl St. Clair.</t>
  </si>
  <si>
    <t xml:space="preserve">Adiantamento de repasse de assinatura da temporada 2026.                                                                                                                                                                                                       </t>
  </si>
  <si>
    <t>07/11/2025</t>
  </si>
  <si>
    <t>12/11/2025</t>
  </si>
  <si>
    <t>13/11/2025</t>
  </si>
  <si>
    <t>21/11/2025</t>
  </si>
  <si>
    <t>26/11/2025</t>
  </si>
  <si>
    <t>27/11/2025</t>
  </si>
  <si>
    <t>28/11/2025</t>
  </si>
  <si>
    <t>ASSESSORIA DE IMIGRAÇÃO/ TRADUÇÕES</t>
  </si>
  <si>
    <t xml:space="preserve">DEPARTAMENTO DE POLICIA FEDERAL                             </t>
  </si>
  <si>
    <t xml:space="preserve">MARIA LUIZA RODRIGUES COSTA ARRUDA 088.179.306-01           </t>
  </si>
  <si>
    <t>29872735000197</t>
  </si>
  <si>
    <t>Taxas referentes a renovação do visto do musico fagotista Adolfo Cabrerizo.</t>
  </si>
  <si>
    <t>01/12/2025</t>
  </si>
  <si>
    <t>03/12/2025</t>
  </si>
  <si>
    <t>04/12/2025</t>
  </si>
  <si>
    <t>30/11/2025</t>
  </si>
  <si>
    <t>05/12/2025</t>
  </si>
  <si>
    <t>09/12/2025</t>
  </si>
  <si>
    <t>10/12/2025</t>
  </si>
  <si>
    <t>02/12/2025</t>
  </si>
  <si>
    <t>11/12/2025</t>
  </si>
  <si>
    <t>12/12/2025</t>
  </si>
  <si>
    <t>15/12/2025</t>
  </si>
  <si>
    <t>16/12/2025</t>
  </si>
  <si>
    <t>17/12/2025</t>
  </si>
  <si>
    <t>08/12/2025</t>
  </si>
  <si>
    <t>14/12/2025</t>
  </si>
  <si>
    <t>06/12/2025</t>
  </si>
  <si>
    <t>18/12/2025</t>
  </si>
  <si>
    <t>19/12/2025</t>
  </si>
  <si>
    <t>22/12/2025</t>
  </si>
  <si>
    <t>13/12/2025</t>
  </si>
  <si>
    <t>20/12/2025</t>
  </si>
  <si>
    <t>23/12/2025</t>
  </si>
  <si>
    <t>26/12/2025</t>
  </si>
  <si>
    <t>31/12/2025</t>
  </si>
  <si>
    <t>Contratação de transporte executivo para atendimento a solistas e regentes convidados.
Competência: Novembro/2025</t>
  </si>
  <si>
    <t>Receita bruta da bilheteria do concertoPresto 10, realizado no dia 04/12/2025 na Sala Minas Gerais.</t>
  </si>
  <si>
    <t>Receita bruta da bilheteria do concerto Veloce 10, realizado no dia 05/12/2025 na Sala Minas Gerais.</t>
  </si>
  <si>
    <t>Receita bruta da bilheteria do concerto Allegro 10, realizado no dia 11/12/2025 na Sala Minas Gerais.</t>
  </si>
  <si>
    <t>Receita bruta da bilheteria do concerto Vivace 10, realizado no dia 12/12/2025 na Sala Minas Gerais.</t>
  </si>
  <si>
    <t>Receita bruta da bilheteria do concerto Câmara 6, realizado no dia 09/12/2025 na Sala Minas Gerais.</t>
  </si>
  <si>
    <t>A Abrace Uma Causa foi contratada para desenvolver e operar  a plataforma tecnológica para venda do programa Amigos da Filarmônica. Valor referente a percentual sobre o arrecadação do Programa Amigos da Filarmônica e taxa de meio de pagamento correspondente. Competência: Dezembro/2025</t>
  </si>
  <si>
    <t>Receita bruta da bilheteria do concerto Ensaios Abertos 8, realizado no dia 11/12/2025 na Sala Minas Gerais.</t>
  </si>
  <si>
    <t>Receita bruta da bilheteria do concerto Especial de Natal, realizado no dia 18/12/2025 na Sala Minas Gerais.</t>
  </si>
  <si>
    <t xml:space="preserve">IOF Rendimento aplicação financeira dezembro/2025.                                                                                                                                                                                                             </t>
  </si>
  <si>
    <t>59906-9 - Captação Federal</t>
  </si>
  <si>
    <t xml:space="preserve">ABACATE PRODUCOES LTDA.                                     </t>
  </si>
  <si>
    <t>47411226000149</t>
  </si>
  <si>
    <t xml:space="preserve">PAULO CERRUTI DE ARRUDA SAMPAIO 452.093.318-81              </t>
  </si>
  <si>
    <t>35483391000127</t>
  </si>
  <si>
    <t>MICROSOFT DO BRASIL IMPORTACAO E COMERCIO DE SOFTWARE E VIDE</t>
  </si>
  <si>
    <t>04712500000107</t>
  </si>
  <si>
    <t xml:space="preserve">BASECAPE PTY LTD                                            </t>
  </si>
  <si>
    <t xml:space="preserve">MANESTY, INC                                                </t>
  </si>
  <si>
    <t xml:space="preserve">EXPRESSO MINAS TRANSPORTES E TURISMO LTDA                   </t>
  </si>
  <si>
    <t>38480095000160</t>
  </si>
  <si>
    <t xml:space="preserve">GAUDENCIO E LOPES SOCIEDADE DE ADVOGADOS                    </t>
  </si>
  <si>
    <t>61885480000100</t>
  </si>
  <si>
    <t xml:space="preserve">ACERTO SUPRIMENTO DE CAIXA                                  </t>
  </si>
  <si>
    <t>DINAMICA SERVICOS ESPECIALIZADOS E CORRETORA DE SEGUROS LTDA</t>
  </si>
  <si>
    <t>09155925000186</t>
  </si>
  <si>
    <t>02/01/2026</t>
  </si>
  <si>
    <t>01/01/2026</t>
  </si>
  <si>
    <t>05/01/2026</t>
  </si>
  <si>
    <t>07/01/2026</t>
  </si>
  <si>
    <t>03/09/2024</t>
  </si>
  <si>
    <t>02/07/2024</t>
  </si>
  <si>
    <t>19/11/2024</t>
  </si>
  <si>
    <t>25/11/2024</t>
  </si>
  <si>
    <t>07/11/2024</t>
  </si>
  <si>
    <t>08/11/2024</t>
  </si>
  <si>
    <t>08/01/2026</t>
  </si>
  <si>
    <t>10/01/2026</t>
  </si>
  <si>
    <t>13/01/2026</t>
  </si>
  <si>
    <t>28/12/2025</t>
  </si>
  <si>
    <t>14/01/2026</t>
  </si>
  <si>
    <t>12/01/2026</t>
  </si>
  <si>
    <t>06/01/2026</t>
  </si>
  <si>
    <t>05/01/2025</t>
  </si>
  <si>
    <t>15/01/2026</t>
  </si>
  <si>
    <t>03/01/2026</t>
  </si>
  <si>
    <t>19/01/2026</t>
  </si>
  <si>
    <t>09/01/2026</t>
  </si>
  <si>
    <t>20/01/2026</t>
  </si>
  <si>
    <t>16/01/2026</t>
  </si>
  <si>
    <t>17/01/2026</t>
  </si>
  <si>
    <t>22/01/2026</t>
  </si>
  <si>
    <t>23/01/2026</t>
  </si>
  <si>
    <t>29/01/2026</t>
  </si>
  <si>
    <t>30/01/2026</t>
  </si>
  <si>
    <t>&lt;SEM TIPO DE TITULO&gt;</t>
  </si>
  <si>
    <t xml:space="preserve">Repasse referente a rendimento de aplicação financeira da conta de captação do Plano anual 2026 59904-2. Repasse de R$ 1.600.153,90
                                                                                                                           </t>
  </si>
  <si>
    <t>Serviço técnico especializado de sonorização e iluminação nos dias 08, 09, e 10 de dezembro  de 2025 para Evento de terceiro, Recital da Academia, Música de Câmara, ensaios da OFMG a serem realizados na Sala Minas Gerais.</t>
  </si>
  <si>
    <t>Contratação do serviço de redação, revisão e edição dos textos da série Fora de Série da Temporada 2026.</t>
  </si>
  <si>
    <t>Mensalidade de medicina e segurança do trabalho (PPRA,PCMSO). Competência: Novembro/2025</t>
  </si>
  <si>
    <t>Contratação de produtor freelancer para acompanhamento de evento de terceiro (ACEXP) nos dias 14 e 15/11/2025</t>
  </si>
  <si>
    <t xml:space="preserve">Taxa de Audição - Principal Viola Violino, Assistente de Spalla, Contrabaixo Seção- inscrições entre 01/01/2026 a 10/02/2026 - (Audição 09/03/2026) - PIX QRS  Filipe Yure Pereira 05/01.                                                                      </t>
  </si>
  <si>
    <t xml:space="preserve">Taxa de Audição - Principal Viola Violino, Assistente de Spalla, Contrabaixo Seção- inscrições entre 01/01/2026 a 10/02/2026 - (Audição 09/03/2026) - PIX QRS ANDRE DIAS 04/01                                                                                 </t>
  </si>
  <si>
    <t xml:space="preserve">Repasse referente a rendimento de aplicação financeira da conta de captação do PA 24/25 58132-1. Repasse de R$ 1.993.335,37 
                                                                                                                                  </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</si>
  <si>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Dezembro/2025.</t>
  </si>
  <si>
    <t>Plano corporativo Business Standard de emails e serviços Google. Competência: Novembro/2025.</t>
  </si>
  <si>
    <t>Aquisição de 12 licenças anuais do Microsoft Office. Devido à aquisição de novas máquinas, torna-se necessária a ampliação do número de licenças.</t>
  </si>
  <si>
    <t>Serviço de deslocamento urbano por aplicativo (Uber). Competência: Novembro/2025</t>
  </si>
  <si>
    <t>Prestação de serviços pelos Correios em 2025. Competência: Novembro/2025</t>
  </si>
  <si>
    <t>Renovação da assinatura do site www.naxos.com. Tempo de vigência da assinatura: 01/12/2025 a 30/11/2026. Não é possível renovar por período inferior.</t>
  </si>
  <si>
    <t>Plugin para Wordpress com a função de sistema de busca que é usado no site da Orquestra Filarmônica.</t>
  </si>
  <si>
    <t>Plugin para Wordpress com a função de busca que é usado no site novo da Orquestra Filarmônica e exige renovação anual.</t>
  </si>
  <si>
    <t>Compra de um plugin para exportar os materiais das temporadas anteriores que estão no site antigo e importar para o site novo da Filarmônica.</t>
  </si>
  <si>
    <t>Aluguel de partituras para os concertos Presto II e Veloce II (26 e 27 de março). Obra: Blanchard - Fire shut up in my bones. Regente: Vincent de Kort.</t>
  </si>
  <si>
    <t>Renovação Servidor para hospedagem do novo site da Orquestra Filarmônica de Minas Gerais.</t>
  </si>
  <si>
    <t>Renovação do serviço de envio automático/seriado de e-mails para o banco de contatos da Filarmônica. Competência: Dezembro/2025</t>
  </si>
  <si>
    <t>Mensalidade de internet banda larga de 240MB para a Sala Minas Gerais. Competência: Dezembro/2025</t>
  </si>
  <si>
    <t>Receita Bruta estacionamento, competência 12/2025.</t>
  </si>
  <si>
    <t>Prestação de serviços pelos Correios em 2025. Competência: Dezembro/2025</t>
  </si>
  <si>
    <t>Serviço do cartório de notas, referente ao mês de dezembro/2025. Despesas com 2 autenticações dos documentos do Adolfo e da Libby para renovação de visto .</t>
  </si>
  <si>
    <t>Nota sem efeito fiscal das taxas de cartão referente a vendas de ingresso na competência Dezembro/2025.</t>
  </si>
  <si>
    <t>Plano de saúde corporativo com abrangência nacional. Competência: Janeiro/2026</t>
  </si>
  <si>
    <t xml:space="preserve">Doação recebida através de remessa internacional pelo sistema Portal de Causas da Benevity, valor da doação em dolar U$ 933.81. Documentos anexos.                                                                                                             </t>
  </si>
  <si>
    <t xml:space="preserve">Depósito judicial referente ao ISS sobre receita da competência dezembro/2025
Processo: 50253977120178130024-                                                                                                                                                  </t>
  </si>
  <si>
    <t xml:space="preserve">Adiantamento referente ao mobiliário - mesa para composição da Sala de montadores.Parceiro(2939)Formespaço.                                                                                                                                                    </t>
  </si>
  <si>
    <t xml:space="preserve">IOF de doação recebida através de remessa internacional pelo sistema Portal de Causas da Benevity, valor da doação em dolar U$ 933.81. Documentos anexos.                                                                                                      </t>
  </si>
  <si>
    <t xml:space="preserve">FGTS folha 12/2025                                                                                                                                                                                                                                             </t>
  </si>
  <si>
    <t xml:space="preserve">FGTS emprestimo consignado folha 12/2025                                                                                                                                                                                                                       </t>
  </si>
  <si>
    <t>Contratação do ERP Domínio, Implantação e Treinamento dos módulos Contabilidade, Escrita Fiscal, Atualizar, Patrimônio, Lalur, Folha de Pagamento, Auditoria, Portal do Cliente e Portal do Empregado. 
Número de usuários simultâneos: 5
Competência: Dezembro/2025</t>
  </si>
  <si>
    <t>Renovação contratual anual da licença de uso do software de Ponto Eletrônico. Competência: janeiro/2026</t>
  </si>
  <si>
    <t>Compra de insumos para feitio de palhetas de fagote, oboé e corne inglês, nas aulas dos respectivos instrumentos na Academia Filarmônica. O pagamento deve ser feito em duas partes, sendo 50% no ato da encomenda dos itens e 50% após o recebimento.</t>
  </si>
  <si>
    <t xml:space="preserve">Rescisao Nina Rocha 01/2026                                                                                                                                                                                                                                    </t>
  </si>
  <si>
    <t xml:space="preserve">Taxa de Audição - Principal Viola Violino, Assistente de Spalla, Contrabaixo Seção- inscrições entre 01/01/2026 a 10/02/2026 - (Audição 09/03/2026) - PIX QRS  Gabriel Pereira 13/01.                                                                          </t>
  </si>
  <si>
    <t xml:space="preserve">FGTS rescisão analista de comunicação.                                                                                                                                                                                                                         </t>
  </si>
  <si>
    <t>Mensalidade de telefonia móvel e modens móveis para o Instituto Cultural Filarmônica. Competência: Dezembro/2025</t>
  </si>
  <si>
    <t xml:space="preserve">Depósito judicial referente ao Cofins sobre receita da competência dezembro/2025.
Processo: 00203084520174013800. ID: 120621000342306146                                                                                                                       </t>
  </si>
  <si>
    <t xml:space="preserve">Taxa de Audição - Principal Viola Violino, Assistente de Spalla, Contrabaixo Seção- inscrições entre 01/01/2026 a 10/02/2026 - (Audição 09/03/2026) - PIX QRS  Andreza Guimarães 14/01.                                                                        </t>
  </si>
  <si>
    <t xml:space="preserve">Adiantamento referente ao valor referente ao benefício de alimentaçao do funcionario Gustavo Trindade que esta voltando do afastamento.Parceiro(14)Alelo.                                                                                                      </t>
  </si>
  <si>
    <t>Veiculação de spots na rádio CBN BH para divulgação da Temporada 2025. Competência: Dezembro/2025</t>
  </si>
  <si>
    <t>Despesas com IPTU referente ao Termo de Uso da Sala Minas Gerais. Competência: Novembro/2025</t>
  </si>
  <si>
    <t>Despesas com serviços de manutenção e reparos referente ao Termo de Uso da Sala Minas Gerais. Competência: Novembro/2025</t>
  </si>
  <si>
    <t>Despesas com manutenção do sistema de CFTV referente ao Termo de Uso da Sala Minas Gerais. Competência: Novembro/2025</t>
  </si>
  <si>
    <t>Despesas com energia elétrica referente ao Termo de Uso da Sala Minas Gerais. Competência: Novembro/2025</t>
  </si>
  <si>
    <t>Despesas com água e esgoto referente ao Termo de Uso da Sala Minas Gerais. Competência: Novembro/2025</t>
  </si>
  <si>
    <t>Compra diária de pães para os funcionários do ICF a fim de atender a determinação da convenção coletiva dos funcionários do ICF (Sindec). Competência: Dezembro/2025</t>
  </si>
  <si>
    <t>Horas técnicas de TI na manutenção dos computadores do ICF (Backups, instalação de softwares, configuração de roteadores, formatação de máquinas, dentre outros).</t>
  </si>
  <si>
    <t>Serviço de clipagem diária e análise de mídia dos principais veículos impressos (jornais e revistas), digitais, rádios e TVs, com foco na Orquestra Filarmônica de Minas Gerais e no setor cultural. Competência: Janeiro/2026</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</si>
  <si>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Dezembro/2025.</t>
  </si>
  <si>
    <t>A Abrace Uma Causa foi contratada para desenvolver e operar  a plataforma tecnológica para venda do programa Amigos da Filarmônica. Competência: Dezembro/2025</t>
  </si>
  <si>
    <t>Atendentes no período de captação de recursos do Programa Amigos da Filarmônica e Campanha de Assinaturas, para apoio no atendimento telefônico e presencial, bem como na montagem dos kits da Temporada 2026. Competência: Dezembro/2025</t>
  </si>
  <si>
    <t>Compra de lanche para atender a reunião do Conselho Administrativo no dia 11/12/2025. O lanche será servido a 15 pessoas.</t>
  </si>
  <si>
    <t>Compra de 15 luminarias Downlight 15W 3000°K com reator DALI, para substituição na iluminação de serviço da Sala Minas Gerais.</t>
  </si>
  <si>
    <t>Compra de material de escritório: 2000 etiquetas Pimaco, código 6181 (25,4mm X 101,6mm); 3 vidros de 1 litro de cola branca; 5 tubos pequenos cola branca líquida; 1 caixa de clips nª2; 2 caixas de clips nª 3; 1 caixa de clips nª 4; 1 caixa de papel A4; 50 unidades de caixa arquivo; 5 unidades de rolo de fita adesiva empacotamento; 5 unidades de borracha.</t>
  </si>
  <si>
    <t>Mensalidade de internet banda larga de 600MB para o Instituto Cultural Filarmônica. Houve a troca de operadora pois a VIVO não estava mais fornecendo o sinal de banda larga. Competência: Dezembro/2025</t>
  </si>
  <si>
    <t xml:space="preserve">Repasse doações não incentivadas recebidas através do site Abrace Uma Causa mes 12/2025. Relatório em anexo.                                                                                                                                                   </t>
  </si>
  <si>
    <t>Contratação e matrícula de jovem aprendiz em curso de aprendizagem em escola de ensino social profissionalizante pelo período de 16 meses, de acordo com a Notificação do Ministério do Trabalho nº 3840, baseado no Artigo 429 da CLT. Competência: Dezembro/2025</t>
  </si>
  <si>
    <t>Backup em nuvem, para fins de segurança no caso de haver dano físico ou lógico nos servidores locais. Competência: Janeiro/2026</t>
  </si>
  <si>
    <t>Passagens aéreas para o engenheiro de som Ulrich Schneider (Campinas/BH/Campinas), para o técnico de som Márcio Torres (SP/BH /SP) e para a compositora Marisa Resende (RJ/BH/RJ) para a gravação das obras de Marisa Resende, de 17/02/2026 a 22/02/2026, na Sala Minas Gerais.</t>
  </si>
  <si>
    <t xml:space="preserve">PIS retido em guia unificada sobre folha 12/2025.                                                                                                                                                                                                              </t>
  </si>
  <si>
    <t xml:space="preserve">IRRF Folha Mensal 12/2025, recolhido atraves de DARF unificado.                                                                                                                                                                                                </t>
  </si>
  <si>
    <t xml:space="preserve">INSS UNIFICADO 12/2025.                                                                                                                                                                                                                                        </t>
  </si>
  <si>
    <t xml:space="preserve">IRRF férias e 13º.                                                                                                                                                                                                                                             </t>
  </si>
  <si>
    <t>Mensalidade referente a licença de uso do sistema de gestão Sankhya-W e Licença de Uso da plataforma "Universidade Sankhya" (sistema Sankhya OM - Sistema de Gestão Empresarial Sankhya OM - Versão 4.12 na modalidade Evo (Software as a Service) com acesso exclusivamente via Web; e Serviços Pós Implantação. Competência: janeiro/2026.</t>
  </si>
  <si>
    <t xml:space="preserve">Quitação de Benefícios Retroativos de Diretor de Operações decorrentes do Acordo Coletivo de Trabalho 2025/2026. Recibo em anexo.                                                                                                                              </t>
  </si>
  <si>
    <t xml:space="preserve">Quitação de Benefícios Retroativos de musicista decorrentes do Acordo Coletivo de Trabalho 2025/2026. Recibo em anexo.                                                                                                                                         </t>
  </si>
  <si>
    <t xml:space="preserve">Quitação de Benefícios Retroativos de Gerente de Produção decorrentes do Acordo Coletivo de Trabalho 2025/2026. Recibo em anexo.                                                                                                                               </t>
  </si>
  <si>
    <t xml:space="preserve">Quitação de Benefícios Retroativos de Coordenador decorrentes do Acordo Coletivo de Trabalho 2025/2026. Recibo em anexo.                                                                                                                                       </t>
  </si>
  <si>
    <t xml:space="preserve">Quitação de Benefícios Retroativos de Gerente de Orquestra decorrentes do Acordo Coletivo de Trabalho 2025/2026. Recibo em anexo.                                                                                                                              </t>
  </si>
  <si>
    <t xml:space="preserve">Quitação de Benefícios Retroativos de analista de comunicacao decorrentes do Acordo Coletivo de Trabalho 2025/2026. Recibo em anexo.                                                                                                                           </t>
  </si>
  <si>
    <t xml:space="preserve">Quitação de Benefícios Retroativos de musico decorrentes do Acordo Coletivo de Trabalho 2025/2026. Recibo em anexo.                                                                                                                                            </t>
  </si>
  <si>
    <t xml:space="preserve">Quitação de Benefícios Retroativos de Diretor de comunicação decorrentes do Acordo Coletivo de Trabalho 2025/2026. Recibo em anexo.                                                                                                                            </t>
  </si>
  <si>
    <t xml:space="preserve">Reembolso de valor de ISS pago erroneamente, a nota foi cancelada.                                                                                                                                                                                             </t>
  </si>
  <si>
    <t xml:space="preserve">Ferias Bruno 01/2026                                                                                                                                                                                                                                           </t>
  </si>
  <si>
    <t xml:space="preserve">Depósito judicial referente ao IR sobre aplicação financeira, competência dezembro/2025 conta 00268-7 (fundos- 201)
Número do processo: 00100438120174013800
                                                                                                  </t>
  </si>
  <si>
    <t xml:space="preserve">Depósito judicial referente ao IR sobre aplicação financeira, competência dezembro/2025 - conta 00267-9 (fundos 201 e 202)
Número do processo: 00.100.43-81.2017.4.01.3800
                                                                                    </t>
  </si>
  <si>
    <t xml:space="preserve">Depósito judicial referente ao IOF sobre aplicação financeira, competência dezembro/2025 - conta 00267-9 (fundos 201).
Número do processo: 00100438120174013800
                                                                                               </t>
  </si>
  <si>
    <t>Locação de ônibus para transporte do Coral Canarinhos de Itabirito  por ocasião do Concerto Especial Natal nos dias 17 e 18/12/2025.</t>
  </si>
  <si>
    <t>Contratação da empresa para serviços advocatícios para acompanhamento do processo n° 1091551-61.2025.8.13.0024.</t>
  </si>
  <si>
    <t>Contratação de empresa para prestação de serviço de carregadores, para retirada e recolocação dos móveis do ICF durante mudança de layout de salas.</t>
  </si>
  <si>
    <t>Renovação automática por 12 meses do contrato de licença para firewall e monitoramento dos servidores e rede do Instituto Cultural Filarmônica. Competência: Outubro/2025</t>
  </si>
  <si>
    <t xml:space="preserve">Rescisao Diretor presidente.                                                                                                                                                                                                                                   </t>
  </si>
  <si>
    <t>Compra de Adesivo Junta Motor para atender a demanda da Camila, setor financeiro no dia 23/01/2026. COFERMETA SA. CNPJ: 17.281.973/0001-49.</t>
  </si>
  <si>
    <t>Compra de Cola Junta Motor para atender a demanda da Camila, setor financeiro no dia 23/01/2026. COFERMETA SA. CNPJ: 17.281.973/0001-49.</t>
  </si>
  <si>
    <t xml:space="preserve">Doação recebida na conta de RPS - PIX TRANSF JOSE OL 25/01.                                                                                                                                                                                                    </t>
  </si>
  <si>
    <t>Locação de mesa para servir o lanche do concerto da OFMG com a participação especial do Coral Canarinhos de Itabirito entre os dias 15/12 a 19/12.</t>
  </si>
  <si>
    <t>Passagens aéreas para o percussionista Jean Carlos Martins (São Paulo/BH/São Paulo), para gravação das obras da compositora Marisa Resende entre os dias 18/02/2026 a 22/02/2026, na Sala Minas Gerais. Os ensaios começam no dia 11/02/2026.</t>
  </si>
  <si>
    <t>Auditoria externa independente do exercício fiscal 2025. Período para execução das atividades - 09/2025 a 03/2026. Competência: Janeiro/2026.</t>
  </si>
  <si>
    <t>Contratação do serviço de redação, revisão e edição dos textos da série Fora de Série da Temporada 2026. Competência: Janeiro/2026.</t>
  </si>
  <si>
    <t>Reembolso contratual de despesas necessárias ao atendimento do Instituto Cultural Filarmônica, referentes à locomoção para a reunião do Conselho de Administração do ICF, realizada em 11/12/2025.
Relação de documentos que compõem as despesas:2 recibos de restituição de deslocamento (Uber).</t>
  </si>
  <si>
    <t>Contratação de Paulo Rosa, musicista de notória qualidade musical, pela participação como saxofonista junto à Orquestra Filarmônica de MG, por meio da empresa ELISETE GOMES, a título de complementação de posições necessárias ao repertório apresentado nos concertos Allegro/ Vivace 10 a serem realizados nos dias 11 e 12/12/2025, na Sala Minas Gerais.</t>
  </si>
  <si>
    <t>Mensalidade de telefonia fixa para a Sala Minas Gerais, sede do Instituto Cultural Filarmônica. Competência: Janeiro/2026</t>
  </si>
  <si>
    <t xml:space="preserve">Adiantamento vale alimentação mensal para os funcionarios do ICF. Competência:Fevereiro 2026.Parceiro(14)Alelo.                                                                                                                                                </t>
  </si>
  <si>
    <t xml:space="preserve">Adiantamento vale refeiçao mensal para os funcionarios do ICF. Competência:Fevereiro 2026.Parceiro(14)Alelo.                                                                                                                                                   </t>
  </si>
  <si>
    <t xml:space="preserve">Adiantamento vale cultura mensal para os funcionarios do ICF. Competência:Fevereiro 2026.Parceiro(14)Alelo.                                                                                                                                                    </t>
  </si>
  <si>
    <t>Pagamento de taxa de conferencia/homologação de rescisão contratual de Diomar Donizete da Silveira. Sindicato dos Trabalhadores em Entidades Culturais. CNPJ:00.786.960/0001-29.</t>
  </si>
  <si>
    <t>Contratação de empresa especializada na prestação de serviços de vigilância patrimonia. Competência: Dezembro/2025</t>
  </si>
  <si>
    <t xml:space="preserve">Adiantamento vale transporte mensal para funcionarios que utilizam o transporte pelo sistema DER.Competencia:Fevereiro/2026. Competência:Fevereiro 2026.Parceiro(245)Consorcio Otimo.                                                                          </t>
  </si>
  <si>
    <t xml:space="preserve">Doação recebida na conta de RPS - TED MARIA JV - 29/01.                                                                                                                                                                                                        </t>
  </si>
  <si>
    <t xml:space="preserve">Adiantamento vale transporte mensal para os funcionarios do ICF,que utilizam o transporte pelo sistema Transfacil.Competência:Fevereiro 2026.Parceiro(245)Transfacil.                                                                                          </t>
  </si>
  <si>
    <t xml:space="preserve">FGTS  rescisão Diretor Presidente                                                                                                                                                                                                                              </t>
  </si>
  <si>
    <t>Link dedicado responsavel pela transmissão da Filarmonica digital e backup dos links de internet. Competência: Janeiro/2026.</t>
  </si>
  <si>
    <t xml:space="preserve">Taxa de Audição - Principal Viola Violino, Assistente de Spalla, Contrabaixo Seção- inscrições entre 01/01/2026 a 10/02/2026 - (Audição 09/03/2026) - PIX QRS GLEDSON - 30/01                                                                                  </t>
  </si>
  <si>
    <t xml:space="preserve">Taxa de Audição - Principal Viola Violino, Assistente de Spalla, Contrabaixo Seção- inscrições entre 01/01/2026 a 10/02/2026 - (Audição 09/03/2026) - PIX QRS DANIEL AMARAL - 30/01                                                                            </t>
  </si>
  <si>
    <t xml:space="preserve">Adiantamento referente ao certificado digital e CPF A1 para o diretor Presidente Wilson Brumer.Periodo:02/2026  a 02/2027.Parceiro(5321)Dinamica Serviços.                                                                                                     </t>
  </si>
  <si>
    <t xml:space="preserve">Rendimento aplicação financeira janeiro/2026.                                                                                                                                                                                                                  </t>
  </si>
  <si>
    <t xml:space="preserve">IR Rendimento aplicação janeiro/2026.                                                                                                                                                                                                                          </t>
  </si>
  <si>
    <t xml:space="preserve">Rendimento aplicação financeira conta movimento referente ao mês de janeiro/2026.                                                                                                                                                                              </t>
  </si>
  <si>
    <t xml:space="preserve">IR rendimento apllicação financeira PLANO ANUAL 2026 mes de janeiro/2026.                                                                                                                                                                                      </t>
  </si>
  <si>
    <t xml:space="preserve">IOF Rendimento aplicação financeira janeiro/2026.                                                                                                                                                                                                              </t>
  </si>
  <si>
    <t>Transferência do rendimento de aplicação financeira de dezembro/2025 para conta reserva</t>
  </si>
  <si>
    <t>Depósito judicial de Impostos referentes à Importação de cadeiras para os músicos. Recebimento ocorreu em 05/11/2025. Este lançamento tem apenas a função de baixar o valor dos depósitos judiciais a receber</t>
  </si>
  <si>
    <t>Marketing</t>
  </si>
  <si>
    <t xml:space="preserve">Repasse doações incentivadas recebida na conta captação (59904-2) em 30/12/2025. Transferido para a conta movimento em 02/01/2025 na tranferencia de R$ 1.600.153,90. DROGARIA ARAUJO SA                                                                  </t>
  </si>
  <si>
    <t xml:space="preserve">Repasse doações incentivadas recebida na conta captação (59904-2) em 30/12/2025. Transferido para a conta movimento em 02/01/2025 na tranferencia de R$ 1.600.153,90. MERCANTIL DO BRASIL                                                                   </t>
  </si>
  <si>
    <t xml:space="preserve">Repasse doações incentivadas recebida na conta captação (59904-2) em 30/12/2025. Transferido para a conta movimento em 02/01/2025 na tranferencia de R$ 1.600.153,90. COSEFI - COMPANHIA SECURITIZADORA DE CREDITOS FINANCEIROS                                                                         </t>
  </si>
  <si>
    <t xml:space="preserve">Repasse doações incentivadas recebida na conta captação (59904-2) em 30/12/2025. Transferido para a conta movimento em 02/01/2025 na tranferencia de R$ 1.600.153,90. INTER PAG INSTITUICAO DE PAGAMENTO SA                                                                   </t>
  </si>
  <si>
    <t xml:space="preserve">Repasse doações incentivadas recebida na conta captação (59904-2) em 29/12/2025. Transferido para a conta movimento em 02/01/2025 na tranferencia de R$ 1.600.153,90. STRADA VEICULOS E PECAS LTDA                                                                           </t>
  </si>
  <si>
    <t xml:space="preserve">Repasse doações incentivadas recebida na conta captação (59904-2) em 29/12/2025. Transferido para a conta movimento em 02/01/2025 na tranferencia de R$ 1.600.153,90. PESSEGO.COM CORRETORA DE SEGUROS LTDA                                                                        </t>
  </si>
  <si>
    <t xml:space="preserve">Doação incentivada recebida na conta (58132-1) em 23/12/2025, transferida em 05/01/2026 transferencia no valor de R$ 1.993.335,37.                                                                                                   </t>
  </si>
  <si>
    <t xml:space="preserve">Doação incentivada recebida na conta (58132-1) em 23/12/2025, transferida em 05/01/2026 transferencia no valor de R$ 1.993.335,37. PETROLEO BRASILEIRO S A PETROBRAS                                                                                          </t>
  </si>
  <si>
    <t xml:space="preserve">Doação incentivada recebida na conta (58132-1) em 23/12/2025, transferida em 05/01/2026 transferencia no valor de R$ 1.993.335,37. MRS LOGISTICA S/A                                                                                                              </t>
  </si>
  <si>
    <t xml:space="preserve">Doação incentivada recebida na conta (58132-1) em 26/12/2025, transferida em 05/01/2026 transferencia no valor de R$ 1.993.335,37. CASA FERREIRA GONCALVES LTDA                                                                                                    </t>
  </si>
  <si>
    <t xml:space="preserve">PERSONAL PRESS ASSESSORIA DE IMPRENSA E PROJETOS LTDA       </t>
  </si>
  <si>
    <t>15682080000180</t>
  </si>
  <si>
    <t xml:space="preserve">A EDITORA EIRELI - ME/BUZZ                                  </t>
  </si>
  <si>
    <t>42888115000104</t>
  </si>
  <si>
    <t xml:space="preserve">CONSTRUIR DEPOSITO DE MATERIAIS DE CONSTRUCAO LTDA          </t>
  </si>
  <si>
    <t>24305333000197</t>
  </si>
  <si>
    <t xml:space="preserve">DIGITECNICA EQUIPAMENTOS E SERVICOS LTDA                    </t>
  </si>
  <si>
    <t>18545608000167</t>
  </si>
  <si>
    <t xml:space="preserve">S.E.S. SISTEMAS ELETRONICOS LTDA                            </t>
  </si>
  <si>
    <t>02883253000186</t>
  </si>
  <si>
    <t xml:space="preserve">MORAIS E CUNHA GESTAO E ENGENHARIA LTDA                     </t>
  </si>
  <si>
    <t>53201988000113</t>
  </si>
  <si>
    <t xml:space="preserve">FLORA SILBERSCHNEIDER                                       </t>
  </si>
  <si>
    <t xml:space="preserve">10829033610   </t>
  </si>
  <si>
    <t xml:space="preserve">MITSUI SUMITOMO SEGUROS S.A.                                </t>
  </si>
  <si>
    <t>33016221000107</t>
  </si>
  <si>
    <t>ASSOCIACAO DOS MUSICOS DA ORQUESTRA FILARMONICA DE MINAS GER</t>
  </si>
  <si>
    <t>24684936000147</t>
  </si>
  <si>
    <t>07837375000150</t>
  </si>
  <si>
    <t xml:space="preserve">FAMA PRODUÇOES CULTURAIS LTDA                               </t>
  </si>
  <si>
    <t>08941493000176</t>
  </si>
  <si>
    <t xml:space="preserve">JSF PRODUCOES ARTISTICAS EIRELI                             </t>
  </si>
  <si>
    <t>40622543000165</t>
  </si>
  <si>
    <t xml:space="preserve">MUSICALCHAIRS.INFO LTD                                      </t>
  </si>
  <si>
    <t xml:space="preserve">OXFORD UNIVERSITY PRESS USA                                 </t>
  </si>
  <si>
    <t xml:space="preserve">GANDI INTERNATIONAL                                         </t>
  </si>
  <si>
    <t xml:space="preserve">ANA CAROLINA REGGIANI VIEIRA                                </t>
  </si>
  <si>
    <t xml:space="preserve">12945343606   </t>
  </si>
  <si>
    <t xml:space="preserve">ANA CLARA DILETA ALMEIDA                                    </t>
  </si>
  <si>
    <t xml:space="preserve">07725250646   </t>
  </si>
  <si>
    <t xml:space="preserve">ANA LUZIA CARLOS PIMENTA MORAE                              </t>
  </si>
  <si>
    <t xml:space="preserve">12497947651   </t>
  </si>
  <si>
    <t xml:space="preserve">ANDRE VIEIRA DA SILVA                                       </t>
  </si>
  <si>
    <t xml:space="preserve">13162994659   </t>
  </si>
  <si>
    <t xml:space="preserve">CLARISSA CARVALHO FARIA                                     </t>
  </si>
  <si>
    <t xml:space="preserve">14763319604   </t>
  </si>
  <si>
    <t xml:space="preserve">DIEGO RODRIGO MOREIRA FERREIRA                              </t>
  </si>
  <si>
    <t xml:space="preserve">15984604639   </t>
  </si>
  <si>
    <t xml:space="preserve">FILIPE YURE PEREIRA COIMBRA                                 </t>
  </si>
  <si>
    <t xml:space="preserve">02228795216   </t>
  </si>
  <si>
    <t xml:space="preserve">GUILHERME AUGUSTO GONCALVES                                 </t>
  </si>
  <si>
    <t xml:space="preserve">11393363636   </t>
  </si>
  <si>
    <t xml:space="preserve">IURY GUIBSON SANTOS DA SILVA                                </t>
  </si>
  <si>
    <t xml:space="preserve">04642486208   </t>
  </si>
  <si>
    <t xml:space="preserve">LARISSA KELEN JOSUE                                         </t>
  </si>
  <si>
    <t xml:space="preserve">13932776674   </t>
  </si>
  <si>
    <t xml:space="preserve">LUDSON VITOR SALES ALVES                                    </t>
  </si>
  <si>
    <t xml:space="preserve">01841278661   </t>
  </si>
  <si>
    <t xml:space="preserve">MICAEL JARDIM FERREIRA                                      </t>
  </si>
  <si>
    <t xml:space="preserve">14434290665   </t>
  </si>
  <si>
    <t xml:space="preserve">PAULO  ROBERTO SILVA COSTA                                  </t>
  </si>
  <si>
    <t xml:space="preserve">13064962680   </t>
  </si>
  <si>
    <t xml:space="preserve">VICTOR AUGUSTO CARVALHO DOS SANTOS                          </t>
  </si>
  <si>
    <t xml:space="preserve">18375959766   </t>
  </si>
  <si>
    <t xml:space="preserve">WESLLEY DE ALMEIDA PINHEIRO                                 </t>
  </si>
  <si>
    <t xml:space="preserve">16879919790   </t>
  </si>
  <si>
    <t xml:space="preserve">SANKHYA TECNOLOGIA EM SISTEMAS LTDA FILIAL 02               </t>
  </si>
  <si>
    <t>26314062000242</t>
  </si>
  <si>
    <t xml:space="preserve">LUCAS HENRIQUE ALVES DE SOUZA                               </t>
  </si>
  <si>
    <t xml:space="preserve">10484866648   </t>
  </si>
  <si>
    <t xml:space="preserve">BARRY EDITORIAL COMERCIAL E INDUSTRIAL S.R.L.               </t>
  </si>
  <si>
    <t xml:space="preserve">U.S.C. BRASIL                                               </t>
  </si>
  <si>
    <t>14668045000143</t>
  </si>
  <si>
    <t xml:space="preserve">K F TATAGIBA                                                </t>
  </si>
  <si>
    <t>43944360000154</t>
  </si>
  <si>
    <t xml:space="preserve">TAAL GESTÃO E CULTURA LTDA                                  </t>
  </si>
  <si>
    <t>37404808000144</t>
  </si>
  <si>
    <t xml:space="preserve">GRAFICA GGS LTDA                                            </t>
  </si>
  <si>
    <t>13641389000104</t>
  </si>
  <si>
    <t xml:space="preserve">OUVIDOR DIGITAL SERVICOS DE INFORMATICA LTDA                </t>
  </si>
  <si>
    <t>22137526000150</t>
  </si>
  <si>
    <t xml:space="preserve">GILBERTO MENDES DE ALMEIDA 562.323.736-34                   </t>
  </si>
  <si>
    <t>57721435000142</t>
  </si>
  <si>
    <t xml:space="preserve">BICALHO E DUTRA SOLUCOES EM ENGENHARIA E ARQUITETURA LTDA   </t>
  </si>
  <si>
    <t>48344032000130</t>
  </si>
  <si>
    <t xml:space="preserve">LIDER AGUA PREMIUM LTDA                                     </t>
  </si>
  <si>
    <t>42752989000130</t>
  </si>
  <si>
    <t xml:space="preserve">ROBERTA FERRAO ARRUDA                                       </t>
  </si>
  <si>
    <t xml:space="preserve">22226051805   </t>
  </si>
  <si>
    <t xml:space="preserve">IGOR REIS REYNER 29.951.556/0001-45                         </t>
  </si>
  <si>
    <t xml:space="preserve">08807677660   </t>
  </si>
  <si>
    <t xml:space="preserve">BH EM LIBRAS LTDA                                           </t>
  </si>
  <si>
    <t>22188570000190</t>
  </si>
  <si>
    <t xml:space="preserve">HOSTGATOR BRASIL LTDA                                       </t>
  </si>
  <si>
    <t>15754475000140</t>
  </si>
  <si>
    <t xml:space="preserve">LIS PAPELARIA LTDA                                          </t>
  </si>
  <si>
    <t>57012830000156</t>
  </si>
  <si>
    <t xml:space="preserve">MINASCOPY NACIONAL EIRELI                                   </t>
  </si>
  <si>
    <t>19425487000182</t>
  </si>
  <si>
    <t xml:space="preserve">PRUDENTIAL DO BRASIL VIDA EM GRUPO S.A.                     </t>
  </si>
  <si>
    <t>21986074000119</t>
  </si>
  <si>
    <t xml:space="preserve">CENTRAL LAMPADAS LTDA                                       </t>
  </si>
  <si>
    <t>17646970000161</t>
  </si>
  <si>
    <t xml:space="preserve">ARTES GRAFICAS FORMATO LTDA                                 </t>
  </si>
  <si>
    <t>42914408000119</t>
  </si>
  <si>
    <t xml:space="preserve">ECAD                                                        </t>
  </si>
  <si>
    <t>00474973000162</t>
  </si>
  <si>
    <t xml:space="preserve">ZILKA MARIA CARIBE CARLOS                                   </t>
  </si>
  <si>
    <t xml:space="preserve">79246478649   </t>
  </si>
  <si>
    <t xml:space="preserve">MARIAMA FERREIRA RIBEIRO E LOPES                            </t>
  </si>
  <si>
    <t xml:space="preserve">07583840686   </t>
  </si>
  <si>
    <t>58890252000113</t>
  </si>
  <si>
    <t xml:space="preserve">AEROMUSICA ESTUDIO DE GRAV CRIACAO E POS PRODUCAO LTDA      </t>
  </si>
  <si>
    <t>38741070000173</t>
  </si>
  <si>
    <t xml:space="preserve">POLVO STUDIO LTDA                                           </t>
  </si>
  <si>
    <t>46363952000170</t>
  </si>
  <si>
    <t xml:space="preserve">IT.ART TECNOLOGIA LTDA                                      </t>
  </si>
  <si>
    <t xml:space="preserve">ANA ZIVKOVIC                                                </t>
  </si>
  <si>
    <t xml:space="preserve">01867280698   </t>
  </si>
  <si>
    <t xml:space="preserve">JESSICA DAYANA NASCIMENTO                                   </t>
  </si>
  <si>
    <t xml:space="preserve">10717974685   </t>
  </si>
  <si>
    <t xml:space="preserve">ELEVADORES OTIS LTDA                                        </t>
  </si>
  <si>
    <t>29739737000536</t>
  </si>
  <si>
    <t xml:space="preserve">REDE EDITORA GRÁFICA LTDA                                   </t>
  </si>
  <si>
    <t>06914474000125</t>
  </si>
  <si>
    <t xml:space="preserve">EB CURSOS E TREINAMENTOS ONLINE LTDA                        </t>
  </si>
  <si>
    <t>27451205000140</t>
  </si>
  <si>
    <t xml:space="preserve">ORIENTESE FISIOTERAPIA LTDA                                 </t>
  </si>
  <si>
    <t>14974887000123</t>
  </si>
  <si>
    <t xml:space="preserve">BRUNO PINHEIRO RIBEIRO DOS ANJOS                            </t>
  </si>
  <si>
    <t>22328700000142</t>
  </si>
  <si>
    <t xml:space="preserve">BERNARDO BRANDAO DE OLIVEIRA 05319440693                    </t>
  </si>
  <si>
    <t>29782437000106</t>
  </si>
  <si>
    <t xml:space="preserve">EMILIA CRISTINA BRANDAO NEVES                               </t>
  </si>
  <si>
    <t xml:space="preserve">93882920220   </t>
  </si>
  <si>
    <t xml:space="preserve">GJ&amp;L GESTAO CONTABIL E FINANCEIRA LTDA                      </t>
  </si>
  <si>
    <t>46850263000190</t>
  </si>
  <si>
    <t xml:space="preserve">ROBERTO ALVES RODRIGUES DE ARAUJO                           </t>
  </si>
  <si>
    <t xml:space="preserve">08273468836   </t>
  </si>
  <si>
    <t xml:space="preserve">ADOBE SYSTEMS SOFTWARE IRELAND LTD                          </t>
  </si>
  <si>
    <t xml:space="preserve">SHEET MUSIC DIRECT                                          </t>
  </si>
  <si>
    <t xml:space="preserve">ALFRED MUSIC                                                </t>
  </si>
  <si>
    <t xml:space="preserve">FILARMONIKA MUSIC PUBLISHING                                </t>
  </si>
  <si>
    <t>MENEZES TREINAMENTOS E SOLUCOES EM DEPARTAMENTO PESSOAL LTDA</t>
  </si>
  <si>
    <t>33839063000195</t>
  </si>
  <si>
    <t xml:space="preserve">SHEET MUSIC PLUS                                            </t>
  </si>
  <si>
    <t xml:space="preserve">AVANGATE BV DBA 2CHECKOUT (TELESTREAM)                      </t>
  </si>
  <si>
    <t>27/01/2026</t>
  </si>
  <si>
    <t>02/02/2026</t>
  </si>
  <si>
    <t>03/02/2026</t>
  </si>
  <si>
    <t>01/02/2026</t>
  </si>
  <si>
    <t>04/02/2026</t>
  </si>
  <si>
    <t>06/02/2026</t>
  </si>
  <si>
    <t>21/01/2026</t>
  </si>
  <si>
    <t>31/01/2026</t>
  </si>
  <si>
    <t>09/02/2026</t>
  </si>
  <si>
    <t>08/02/2026</t>
  </si>
  <si>
    <t>26/01/2026</t>
  </si>
  <si>
    <t>10/02/2026</t>
  </si>
  <si>
    <t>11/02/2026</t>
  </si>
  <si>
    <t>05/02/2026</t>
  </si>
  <si>
    <t>12/02/2026</t>
  </si>
  <si>
    <t>28/01/2026</t>
  </si>
  <si>
    <t>07/02/2026</t>
  </si>
  <si>
    <t>01/11/2025</t>
  </si>
  <si>
    <t>19/02/2026</t>
  </si>
  <si>
    <t>13/02/2026</t>
  </si>
  <si>
    <t>25/02/2026</t>
  </si>
  <si>
    <t>18/02/2026</t>
  </si>
  <si>
    <t>20/02/2026</t>
  </si>
  <si>
    <t>24/02/2026</t>
  </si>
  <si>
    <t>26/02/2026</t>
  </si>
  <si>
    <t>27/02/2026</t>
  </si>
  <si>
    <t>IOF - ALUGUEL/PARTITURA RPS</t>
  </si>
  <si>
    <t>IR REMESSA-ALUG/PARTITURA RPS</t>
  </si>
  <si>
    <t>IOF - APLIC FINAN - RPS</t>
  </si>
  <si>
    <t>COMPENSACAO EMPRES/ADIANTAME</t>
  </si>
  <si>
    <t>PIX DEVOLVIDO</t>
  </si>
  <si>
    <t>LOCAÇÃO DE OUTROS EQUIPAMENTOS</t>
  </si>
  <si>
    <t>SEGURO DE CARGA</t>
  </si>
  <si>
    <t>SALÁRIOS</t>
  </si>
  <si>
    <t>ASSESSORIA CONTÁBIL</t>
  </si>
  <si>
    <t>CAPTAÇÃO DE AUDIO</t>
  </si>
  <si>
    <t>ASSESSORIA DE GESTÃO PROJETOS CULTURAIS</t>
  </si>
  <si>
    <t>SERVIÇOS DE MOTOBOY</t>
  </si>
  <si>
    <t>UNIFORMES</t>
  </si>
  <si>
    <t>ALUGUEL E MANUT. DE EQUIP. REPROGRÁFICOS</t>
  </si>
  <si>
    <t>SEGURO DE VIDA</t>
  </si>
  <si>
    <t>ECAD</t>
  </si>
  <si>
    <t>MANUTENÇÃO DE INSTRUMENTOS</t>
  </si>
  <si>
    <t>PARTITURAS</t>
  </si>
  <si>
    <t>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Janeiro/2026</t>
  </si>
  <si>
    <t>Impressão de 6 cartazes para arquivo e prestação de contas, referente à Turnê Estadual - Diamantina 2025.</t>
  </si>
  <si>
    <t>Material a ser utilizado para proteção dos moveis na Obra e cimento utilizado para reparo em doca.</t>
  </si>
  <si>
    <t>Locação de 1 NO-BREAK'S para serem utilizados nas trasmissões online dos concertos. Competência: Janeiro/2026.</t>
  </si>
  <si>
    <t xml:space="preserve">Taxa de Audição - Principal Viola Violino, Assistente de Spalla, Contrabaixo Seção- inscrições entre 01/01/2026 a 10/02/2026 - (Audição 09/03/2026) - PIX QRS MATHUES ANTONIO - 02/02.                                                                         </t>
  </si>
  <si>
    <t xml:space="preserve">Taxa de Audição - Principal Viola Violino, Assistente de Spalla, Contrabaixo Seção- inscrições entre 01/01/2026 a 10/02/2026 - (Audição 09/03/2026) - PIX QRS JOAO CA- 02/02.                                                                                  </t>
  </si>
  <si>
    <t xml:space="preserve">Taxa de Audição - Principal Viola Violino, Assistente de Spalla, Contrabaixo Seção- inscrições entre 01/01/2026 a 10/02/2026 - (Audição 09/03/2026) - PIX QRS DAVID - 01/02.                                                                                   </t>
  </si>
  <si>
    <t>Serviços de vigilância externa atraves de câmeras de monitoramento. Competência: Janeiro/2026.</t>
  </si>
  <si>
    <t xml:space="preserve">Taxa de Audição - Principal Viola Violino, Assistente de Spalla, Contrabaixo Seção- inscrições entre 01/01/2026 a 10/02/2026 - (Audição 09/03/2026) - PIX QRS PAVEL MURAVEV- 03/02.                                                                            </t>
  </si>
  <si>
    <t xml:space="preserve">Taxa de Audição - Principal Viola Violino, Assistente de Spalla, Contrabaixo Seção- inscrições entre 01/01/2026 a 10/02/2026 - (Audição 09/03/2026) - PIX QRS KIVIA SILVA- 03/02.                                                                              </t>
  </si>
  <si>
    <t xml:space="preserve">Adiantamento referente a contratação de empresa para prestação de serviço de demoliçao de parede de drywall, com recomposição de teto, piso e paredes, e troca de duas portas de local no 2º andar da Sala Minas Gerais.Parceiro(5311)Morais e Cunha.          </t>
  </si>
  <si>
    <t xml:space="preserve">Férias Flora 02/2026                                                                                                                                                                                                                                           </t>
  </si>
  <si>
    <t xml:space="preserve">Taxa de Audição - Principal Viola Violino, Assistente de Spalla, Contrabaixo Seção- inscrições entre 01/01/2026 a 10/02/2026 - (Audição 09/03/2026) - PIX QRS GABRIELA NEGRI- 04/02.                                                                           </t>
  </si>
  <si>
    <t xml:space="preserve">Doação incentivada recebida na conta (58132-1) em 30/01/2026, transferida em 04/02/2026 transferencia no valor de R$ 6.001,04. 15581970000103 DISCIPLINA                                                                                                       </t>
  </si>
  <si>
    <t xml:space="preserve">Repasse referente a rendimento de aplicação financeira da conta de captação do Plano anual 2026 59904-2. Repasse de R$ 6.001,04.
                                                                                                                              </t>
  </si>
  <si>
    <t>Mensalidade de medicina e segurança do trabalho (PPRA,PCMSO). Competência: Dezembro/2025</t>
  </si>
  <si>
    <t xml:space="preserve">Repasse SEC - Referente ao contrato de Gestão 02/2026.                                                                                                                                                                                                         </t>
  </si>
  <si>
    <t>Endosso de seguro de instrumentos musicais do Instituto Cultural Filarmonica em razão de inclusão de instrumentos e exclusão de instrumentos.</t>
  </si>
  <si>
    <t xml:space="preserve">FGTS folha 01/2026                                                                                                                                                                                                                                             </t>
  </si>
  <si>
    <t xml:space="preserve">FGTS emprestimo consignado folha 01/2026                                                                                                                                                                                                                       </t>
  </si>
  <si>
    <t xml:space="preserve">Associação dos músicos Folha 01/2026.                                                                                                                                                                                                                          </t>
  </si>
  <si>
    <t xml:space="preserve">Pagamento  estagiaria folha 01/2026.                                                                                                                                                                                                                           </t>
  </si>
  <si>
    <t xml:space="preserve">Pagamento folha 01/2026.                                                                                                                                                                                                                                       </t>
  </si>
  <si>
    <t>Receita Bruta estacionamento, competência 01/2026.</t>
  </si>
  <si>
    <t xml:space="preserve">Taxa de Audição - Principal Viola Violino, Assistente de Spalla, Contrabaixo Seção- inscrições entre 01/01/2026 a 10/02/2026 - (Audição 09/03/2026) - PIX QRS MARCOS ANTONIO- 06/02.                                                                           </t>
  </si>
  <si>
    <t xml:space="preserve">Repasse doações não incentivadas recebidas através do site Abrace Uma Causa mes 01/2026. Relatório em anexo.                                                                                                                                                   </t>
  </si>
  <si>
    <t>Prestação mensal referente a serviços de regente titular e Direção Artistica da Orquestra Filarmônica de Minas Gerais pelo Maestro Fábio Mechetti. Competência: janeiro/2026</t>
  </si>
  <si>
    <t>Prestação mensal referente à contratação do regente associado José Soares. Competência: Janeiro/2026</t>
  </si>
  <si>
    <t>Compra de manteiga para reposiçao da copa. TEMPAO LTDA. CNPJ:19.981.315/0001-95.</t>
  </si>
  <si>
    <t>Impressão de 18 programas dos concertos das Turnês Estaduais Araxá, Pouso ALegre e Governador Valadares, de 2025, para compor a prestação de contas.</t>
  </si>
  <si>
    <t>Plano de saúde corporativo com abrangência nacional. Competência: Fevereiro/2026.</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</si>
  <si>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Janeiro/2026</t>
  </si>
  <si>
    <t>Serviço de deslocamento urbano por aplicativo (Uber). Competência: Dezembro/2025</t>
  </si>
  <si>
    <t>Dois anúncios pontuais no site musicalchairs.info (referência internacional na divulgação de postos de trabalhos e outros assuntos de interesse dos profissionais da música) para as audições de Assistente de Spalla e Contrabaixo (seção).</t>
  </si>
  <si>
    <t>Renovação da assinatura com a Oxford University Press. Tempo de vigencia da assinatura: 01/01/2026 a 31/12/2026. Não é possível renovar por período inferior.</t>
  </si>
  <si>
    <t>Renovação de 1 ano do domínio e encurtador de url - fil.mg. A finalidade deste encurtador é, ao gerar uma URL customizada, proporcionando uma maior facilidade de aplicação de endereços eletrônicos em nossas peças gráficas impressas e na divulgação virtual (redes sociais, sites, etc.), Periodo de  Janeiro à Dezembro 2026.</t>
  </si>
  <si>
    <t>Pedido complementar ao pedido 72864 por necessidade de upgrade no plugin uma vez que é necessário a exportação de campos customizáveis do site e a outra versão não comportava esta função.</t>
  </si>
  <si>
    <t>Valor referente a bolsa de estudo, concedida pelo ICF ao candidato aprovado em edital a Academia Filarmônica. Competência: Janeiro/2026</t>
  </si>
  <si>
    <t>Valor referente a participação na Academia Filarmônica. Competência: Janeiro/2026</t>
  </si>
  <si>
    <t>Valor referente a participação na Academia Filarmônica.Competência: Janeiro/2026</t>
  </si>
  <si>
    <t xml:space="preserve">Taxa de Audição - Principal Viola Violino, Assistente de Spalla, Contrabaixo Seção- inscrições entre 01/01/2026 a 10/02/2026 - (Audição 09/03/2026) - PIX QRS LEONARDO - 08/02.                                                                                </t>
  </si>
  <si>
    <t xml:space="preserve">Taxa de Audição - Principal Viola Violino, Assistente de Spalla, Contrabaixo Seção- inscrições entre 01/01/2026 a 10/02/2026 - (Audição 09/03/2026) - PIX QRS ANTONIO CAR - 08/02.                                                                             </t>
  </si>
  <si>
    <t xml:space="preserve">Taxa de Audição - Principal Viola Violino, Assistente de Spalla, Contrabaixo Seção- inscrições entre 01/01/2026 a 10/02/2026 - (Audição 09/03/2026) - PIX QRS LUCAS BERNARDES - 07/02.                                                                         </t>
  </si>
  <si>
    <t xml:space="preserve">Taxa de Audição - Principal Viola Violino, Assistente de Spalla, Contrabaixo Seção- inscrições entre 01/01/2026 a 10/02/2026 - (Audição 09/03/2026) - PIX QRS JEANCAR - 07/02.                                                                                 </t>
  </si>
  <si>
    <t xml:space="preserve">Doação recebida na conta de RPS - PIX TRANSF JOSE OL 08/02.                                                                                                                                                                                                    </t>
  </si>
  <si>
    <t>Mensalidade de internet banda larga de 240MB para a Sala Minas Gerais. Competência: Janeiro/2026</t>
  </si>
  <si>
    <t xml:space="preserve">Doação recebida na conta de RPS -TED LICIA G P 09/02.                                                                                                                                                                                                          </t>
  </si>
  <si>
    <t xml:space="preserve">Taxa de Audição - Principal Viola Violino, Assistente de Spalla, Contrabaixo Seção- inscrições entre 01/01/2026 a 10/02/2026 - (Audição 09/03/2026) - PIX QRS MATHUES MAY - 09/02.                                                                             </t>
  </si>
  <si>
    <t xml:space="preserve">Taxa de Audição - Principal Viola Violino, Assistente de Spalla, Contrabaixo Seção- inscrições entre 01/01/2026 a 10/02/2026 - (Audição 09/03/2026) - PIX QRS FRANCISCO DANIEL - 09/02.                                                                        </t>
  </si>
  <si>
    <t xml:space="preserve">Taxa de Audição - Principal Viola Violino, Assistente de Spalla, Contrabaixo Seção- inscrições entre 01/01/2026 a 10/02/2026 - (Audição 09/03/2026) - PIX QRS JOHNNY LAMIM - 09/02.                                                                            </t>
  </si>
  <si>
    <t>Compra de serra copo e mandril para atender a demanda do setor de infraestrutura. MINAS FERRAMENTAS LTDA. CNPJ: 17.194.994/0004.70</t>
  </si>
  <si>
    <t xml:space="preserve">Doação recebida na conta de RPS PIX RECEBIDO ALEX SA08/02                                                                                                                                                                                                      </t>
  </si>
  <si>
    <t>Renovação do serviço de envio automático/seriado de e-mails para o banco de contatos da Filarmônica. Competência: janeiro/2026</t>
  </si>
  <si>
    <t>Plano corporativo Business Standard de emails e serviços Google. Competência: Dezembro/2025.</t>
  </si>
  <si>
    <t xml:space="preserve">Lançamento ref. a cobrança em duplicidade no cartão de crédito da assinatura do site www.naxos.com; Valor será estornado na fatura de abril/2026.                                                                                                              </t>
  </si>
  <si>
    <t xml:space="preserve">Lançamento ref. a cobrança de IOF em duplicidade no cartão de crédito da assinatura do site www.naxos.com; Valor será estornado na fatura de abril/2026.                                                                                                       </t>
  </si>
  <si>
    <t>Contratação do ERP Domínio, Implantação e Treinamento dos módulos Contabilidade, Escrita Fiscal, Atualizar, Patrimônio, Lalur, Folha de Pagamento, Auditoria, Portal do Cliente e Portal do Empregado. 
Número de usuários simultâneos: 5
Competência: janeiro/2026</t>
  </si>
  <si>
    <t>Suporte de horas técnicas referente apoio/Configuração BDE - MITRA.</t>
  </si>
  <si>
    <t>Compra de agenda para atender a demanda do Diretor. KALUNGA SA. CNPJ:43.283.811/0034-18</t>
  </si>
  <si>
    <t xml:space="preserve">Adiantamento vale cultura para jovem aprendiz do ICF. Competência :Fevereiro 2026..                                                                                                                                                                            </t>
  </si>
  <si>
    <t xml:space="preserve">Repasse doações incentivadas recebida na conta captação (58132-1) em através da Abrace Uma Causa no dia 06/02. Valor do repasse R$ 560,06  em 10/02. Relatório em anexo                                                                                        </t>
  </si>
  <si>
    <t xml:space="preserve">Repasse referente a rendimento de aplicação financeira da conta de captação do Plano anual 2026 59904-2. Repasse de R$ 560,06
                                                                                                                                 </t>
  </si>
  <si>
    <t xml:space="preserve">Taxa de Audição - Principal Viola Violino, Assistente de Spalla, Contrabaixo Seção- inscrições entre 01/01/2026 a 10/02/2026 - (Audição 09/03/2026) - PIX QRS VALENTINA SHMYREVA - 10/02.                                                                      </t>
  </si>
  <si>
    <t xml:space="preserve">Taxa de Audição - Principal Viola Violino, Assistente de Spalla, Contrabaixo Seção- inscrições entre 01/01/2026 a 10/02/2026 - (Audição 09/03/2026) - PIX QRS JADER FERREIRA - 10/02.                                                                          </t>
  </si>
  <si>
    <t xml:space="preserve">Taxa de Audição - Principal Viola Violino, Assistente de Spalla, Contrabaixo Seção- inscrições entre 01/01/2026 a 10/02/2026 - (Audição 09/03/2026) - PIX QRS JOEL BRANDAO - 10/02.                                                                            </t>
  </si>
  <si>
    <t xml:space="preserve">Taxa de Audição - Principal Viola Violino, Assistente de Spalla, Contrabaixo Seção- inscrições entre 01/01/2026 a 10/02/2026 - (Audição 09/03/2026) - PIX QRS JESSICA ALINE - 10/02.                                                                           </t>
  </si>
  <si>
    <t xml:space="preserve">Taxa de Audição - Principal Viola Violino, Assistente de Spalla, Contrabaixo Seção- inscrições entre 01/01/2026 a 10/02/2026 - (Audição 09/03/2026) - PIX QRS GABRIEL GUASSU - 10/02.                                                                          </t>
  </si>
  <si>
    <t xml:space="preserve">Taxa de Audição - Principal Viola Violino, Assistente de Spalla, Contrabaixo Seção- inscrições entre 01/01/2026 a 10/02/2026 - (Audição 09/03/2026) - PIX QRS LUAN COSTA - 10/02.                                                                              </t>
  </si>
  <si>
    <t xml:space="preserve">Taxa de Audição - Principal Viola Violino, Assistente de Spalla, Contrabaixo Seção- inscrições entre 01/01/2026 a 10/02/2026 - (Audição 09/03/2026) - PIX QRS DANIEL FERNANDES - 10/02.                                                                        </t>
  </si>
  <si>
    <t xml:space="preserve">Taxa de Audição - Principal Viola Violino, Assistente de Spalla, Contrabaixo Seção- inscrições entre 01/01/2026 a 10/02/2026 - (Audição 09/03/2026) - PIX QRS DANER MADRUGA - 10/02.                                                                           </t>
  </si>
  <si>
    <t xml:space="preserve">Taxa de Audição - Principal Viola Violino, Assistente de Spalla, Contrabaixo Seção- inscrições entre 01/01/2026 a 10/02/2026 - (Audição 09/03/2026) - PIX QRS RODRIGO MONTEIRO - 10/02.                                                                        </t>
  </si>
  <si>
    <t xml:space="preserve">Taxa de Audição - Principal Viola Violino, Assistente de Spalla, Contrabaixo Seção- inscrições entre 01/01/2026 a 10/02/2026 - (Audição 09/03/2026) - PIX QRS MAIRA CIMBLERIS - 10/02.                                                                         </t>
  </si>
  <si>
    <t xml:space="preserve">Taxa de Audição - Principal Viola Violino, Assistente de Spalla, Contrabaixo Seção- inscrições entre 01/01/2026 a 10/02/2026 - (Audição 09/03/2026) - PIX QRS TONY M  - 10/02.                                                                                 </t>
  </si>
  <si>
    <t xml:space="preserve">Taxa de Audição - Principal Viola Violino, Assistente de Spalla, Contrabaixo Seção- inscrições entre 01/01/2026 a 10/02/2026 - (Audição 09/03/2026) - PIX QRS KINDA SALGADO  - 10/02.                                                                          </t>
  </si>
  <si>
    <t xml:space="preserve">Taxa de Audição - Principal Viola Violino, Assistente de Spalla, Contrabaixo Seção- inscrições entre 01/01/2026 a 10/02/2026 - (Audição 09/03/2026) - PIX QRS RAFAEL MARZAGAO  - 10/02.                                                                        </t>
  </si>
  <si>
    <t xml:space="preserve">Taxa de Audição - Principal Viola Violino, Assistente de Spalla, Contrabaixo Seção- inscrições entre 01/01/2026 a 10/02/2026 - (Audição 09/03/2026) - PIX QRS JOAO PAULO ROCHA - 10/02.                                                                        </t>
  </si>
  <si>
    <t xml:space="preserve">Taxa de Audição - Principal Viola Violino, Assistente de Spalla, Contrabaixo Seção- inscrições entre 01/01/2026 a 10/02/2026 - (Audição 09/03/2026) - PIX QRS LEANDRO NERY- 10/02.                                                                             </t>
  </si>
  <si>
    <t xml:space="preserve">Taxa de Audição - Principal Viola Violino, Assistente de Spalla, Contrabaixo Seção- inscrições entre 01/01/2026 a 10/02/2026 - (Audição 09/03/2026) - PIX QRS MIKHAIL- 10/02.                                                                                  </t>
  </si>
  <si>
    <t xml:space="preserve">Taxa de Audição - Principal Viola Violino, Assistente de Spalla, Contrabaixo Seção- inscrições entre 01/01/2026 a 10/02/2026 - (Audição 09/03/2026) - PIX QRS RENATA RODRIGUES- 10/02.                                                                         </t>
  </si>
  <si>
    <t xml:space="preserve">Taxa de Audição - Principal Viola Violino, Assistente de Spalla, Contrabaixo Seção- inscrições entre 01/01/2026 a 10/02/2026 - (Audição 09/03/2026) - PIX QRS GUSTAVO FILIPPE- 10/02.                                                                          </t>
  </si>
  <si>
    <t xml:space="preserve">Taxa de Audição - Principal Viola Violino, Assistente de Spalla, Contrabaixo Seção- inscrições entre 01/01/2026 a 10/02/2026 - (Audição 09/03/2026) - PIX QRS MARIANA PARDINHO- 10/02.                                                                         </t>
  </si>
  <si>
    <t xml:space="preserve">Taxa de Audição - Principal Viola Violino, Assistente de Spalla, Contrabaixo Seção- inscrições entre 01/01/2026 a 10/02/2026 - (Audição 09/03/2026) - PIX QRS ANTONIO MAMEDIO- 10/02.                                                                          </t>
  </si>
  <si>
    <t xml:space="preserve">Taxa de Audição - Principal Viola Violino, Assistente de Spalla, Contrabaixo Seção- inscrições entre 01/01/2026 a 10/02/2026 - (Audição 09/03/2026) - PIX QRS WEBSTER SILAS- 10/02.                                                                            </t>
  </si>
  <si>
    <t xml:space="preserve">Férias Lucas 02/2026                                                                                                                                                                                                                                           </t>
  </si>
  <si>
    <t>Aluguel de partituras para o concerto Fora de Série I (29 de fevereiro). Obra: Britten - Sinfonia simples. Regente: José Soares.</t>
  </si>
  <si>
    <t>Mobiliário (mesa) para composição da Sala de montadores. Conforme Notificação n.º: E-7438-MG/2025 do Ministério do Trabalho. Quantidade: 5</t>
  </si>
  <si>
    <t xml:space="preserve">Depósito judicial referente ao Cofins sobre receita da competência janeiro/2026.
Processo: 00203084520174013800. ID: 120621000342306146                                                                                                                        </t>
  </si>
  <si>
    <t>Contratação da produtora U.S.C Brasil para gravação e pós-produção da Sinfonia nº 4, de Mahler. O áudio será captado entre os dias 8 e 12/11/2025, na Sala Minas Gerais.</t>
  </si>
  <si>
    <t>Atendentes no período de captação de recursos do Programa Amigos da Filarmônica e Campanha de Assinaturas, para apoio no atendimento telefônico e presencial, bem como na montagem dos kits da Temporada 2026. Competência: Janeiro/2026.</t>
  </si>
  <si>
    <t>Mensalidade contratual para o serviço de suporte em TI. Competência: Janeiro/2026</t>
  </si>
  <si>
    <t>Serviço de manutenção e upgrade do console (mesa de som, número de série 9019161409) Digico SD9 que, da cabine técnica, controla todo o sistema de sonorização da Sala Minas Gerais.</t>
  </si>
  <si>
    <t>Mensalidade de assessoria administrativa-financeira para a gestão dos projetos aprovados nos mecanismos de incentivo fiscal para a manutenção e realização das Temporadas 2025 e 2026 da Orquestra Filarmônica de Minas Gerais. Competência: Janeiro/2026.</t>
  </si>
  <si>
    <t>Impressão de cartas para complementar o material de orientações para os Amigos da Filarmônica 2026.</t>
  </si>
  <si>
    <t>Contratação de serviço de licenciamento de software para registro anônimo de denúncias dos funcionários do Instituto Cultural Filarmônica. Competência: Janeiro/2026.</t>
  </si>
  <si>
    <t>A Abrace Uma Causa foi contratada para desenvolver e operar  a plataforma tecnológica para venda do programa Amigos da Filarmônica. Valor referente a percentual sobre o arrecadação do Programa Amigos da Filarmônica. Competência: Janeiro/2026.</t>
  </si>
  <si>
    <t>Serviço de motoboy para entregas diversas no mês de janeiro. As entregas realizadas se referem a segunda etapa dos envios dos Kits da Temporada 2026.</t>
  </si>
  <si>
    <t>Elaboração técnica para projeto, de Linha de Vida para adequação a NR35 de acordo com a demanda solicitada para conformidade com as normas.</t>
  </si>
  <si>
    <t xml:space="preserve">Adiantamento de compra de painel frontal, pingadeira e torneiras para bebedouro industrial. Empresa Lider Agua Premium                                                                                                                                         </t>
  </si>
  <si>
    <t>Reembolso bianual de despesa com aquisição de vestimenta feminina, conforme Regulamento de Compras e Contratações do Instituto.</t>
  </si>
  <si>
    <t xml:space="preserve">Taxa de Audição - Principal Viola Violino, Assistente de Spalla, Contrabaixo Seção- inscrições entre 01/01/2026 a 10/02/2026 - (Audição 09/03/2026) - PIX QRS THAIS DE SOUZA- 12/02.                                                                           </t>
  </si>
  <si>
    <t>Contratação do serviço de redação, revisão e edição de textos das séries AV e PV da Temporada 2026. Competência: Janeiro/2026</t>
  </si>
  <si>
    <t>Intérprete de Libras para concertos da OFMG Temporada 2025, na Sala Minas Gerais e em Praças da RMBH. Ref: Câmara 6</t>
  </si>
  <si>
    <t xml:space="preserve">Adiantamento referente a renovação mensal do servidor para hospedagem do backup do site antigo da Orquestra Filarmonica de Minas Gerais.Parceiro(5254)Hostgator.                                                                                               </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</si>
  <si>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Janeiro/2026</t>
  </si>
  <si>
    <t>Compra de lâmpadas tubular LED, para substituição nas luminárias da Sala Minas Gerais.</t>
  </si>
  <si>
    <t>Compra de material de escritório. Itens: 2 caixas de papel sulfite tamanho OFÍCIO; 12 fitas crepe EUROCEL (24mm X 50m); 8 borrachas brancas (capa vermelha) da FABER CASTELL; 1 caixa de lápis 4B da FABER CASTELL; 6 unidades de fita de cetim nº 06 (azul claro, rosa claro e verde claro); 6 unidades de fita gorgurão nº 06 (azul claro, rosa claro e verde claro); 4 pacotes de Papel fotográfico 230g 50fls; 4 pacotes de Papel color plus 180g rosa  50fls; 4 pacotes de Papel color plus 180g azul 50fls; 1 caixa de lápis apagador de caneta; 50 unidades de caixa arquivo; 2 pacotes de 50 unidades de grampo trilho plástico estendido 300mm x 9mm x 112mm.</t>
  </si>
  <si>
    <t>Despesas com IPTU referente ao Termo de Uso da Sala Minas Gerais. Competência: Dezembro/2025</t>
  </si>
  <si>
    <t>Despesas com serviços de manutenção e reparos referente ao Termo de Uso da Sala Minas Gerais. Competência: Dezembro/2025</t>
  </si>
  <si>
    <t>Despesas com manutenção do sistema de CFTV referente ao Termo de Uso da Sala Minas Gerais. Competência: Dezembro/2025</t>
  </si>
  <si>
    <t>Despesas com energia elétrica referente ao Termo de Uso da Sala Minas Gerais. Competência: Dezembro/2025</t>
  </si>
  <si>
    <t>Despesas com água e esgoto referente ao Termo de Uso da Sala Minas Gerais. Competência: Dezembro/2025</t>
  </si>
  <si>
    <t>Mensalidade para locação de impressoras e franquia de impressões, na sede administrativa do Instituto Cultural Filarmônica. Competência: Janeiro/2026</t>
  </si>
  <si>
    <t>Prêmio do seguro de vida para os funcionários do Instituto, no período de 01/05/2025 a 01/05/2026. Competência: janeiro/2026</t>
  </si>
  <si>
    <t>Aquisição de lâmpadas e soquetes para reposição de peças queimadas nos balizadores de piso da Sala Minas Gerais.</t>
  </si>
  <si>
    <t>Recolhimento de direitos autorais, via ECAD, pelo repertório dos Concertos da OFMG, concertos especiais dos dias 17 e 18/12/2025.</t>
  </si>
  <si>
    <t>Veiculação de spots na rádio CBN BH para divulgação da Temporada 2025. Competência: janeiro/2026</t>
  </si>
  <si>
    <t>Renovação contratual anual da licença de uso do software de Ponto Eletrônico. Competência: Fevereiiro/2026</t>
  </si>
  <si>
    <t xml:space="preserve">Depósito judicial referente ao IR sobre aplicação financeira, competência janeiro/2026 conta 00268-7 (fundos- 201)
Número do processo: 00100438120174013800
                                                                                                   </t>
  </si>
  <si>
    <t xml:space="preserve">Depósito judicial referente ao IOF sobre aplicação financeira, competência janeiro/2026 - conta 00268-7 (fundos 201).
Número do processo: 00100438120174013800 - ID: 120621000052305107
                                                                       </t>
  </si>
  <si>
    <t xml:space="preserve">Férias Zilka 02/2026                                                                                                                                                                                                                                           </t>
  </si>
  <si>
    <t xml:space="preserve">Férias Mariama 02/2026                                                                                                                                                                                                                                         </t>
  </si>
  <si>
    <t xml:space="preserve">Depósito judicial referente ao IOF sobre aplicação financeira, competência janeiro - conta 00267-9 (fundos 201).
Número do processo: 00100438120174013800
                                                                                                     </t>
  </si>
  <si>
    <t xml:space="preserve">Depósito judicial referente ao IR sobre aplicação financeira, competência janeiro/2026 - conta 00267-9 (fundos 201 e 202)
Número do processo: 00.100.43-81.2017.4.01.3800
                                                                                     </t>
  </si>
  <si>
    <t>Mensalidade de telefonia móvel e modens móveis para o Instituto Cultural Filarmônica. Competência: janeiro/2026.</t>
  </si>
  <si>
    <t>Compra diária de pães para os funcionários do ICF a fim de atender a determinação da convenção coletiva dos funcionários do ICF (Sindec). Competência: janeiro/2026</t>
  </si>
  <si>
    <t xml:space="preserve">Depósito judicial referente ao IR sobre aplicação financeira, competência novembro/2025 conta 00268-7 (fundos- 201)
Número do processo: 00100438120174013800
                                                                                                  </t>
  </si>
  <si>
    <t>Certificado digital e-CPF A1 para o diretor adiministrativo-financeiro Joaquim Barreto. Período: 02/2026  a 02/2027.</t>
  </si>
  <si>
    <t>Passagem aérea internacional (Amsterdam - Belo Horizonte - Amsterdam) para o solista convidado, maestro Vincent de Kort, para os concertos Presto e Veloce 1, nos dias 26 e 27 de março de 2026, às 20h30, na Sala Minas Gerais.</t>
  </si>
  <si>
    <t>Envio de partes remanescentes da Sinfonia n. 7 de Shostakovich [Allegro X e Vivace X - 4 e 5 de dezembro de 2025].</t>
  </si>
  <si>
    <t>Mensalidade referente a licença de uso do sistema de gestão Sankhya-W e Licença de Uso da plataforma "Universidade Sankhya" (sistema Sankhya OM - Sistema de Gestão Empresarial Sankhya OM - Versão 4.12 na modalidade Evo (Software as a Service) com acesso exclusivamente via Web; e Serviços Pós Implantação. Competência: fevereiro/2026.</t>
  </si>
  <si>
    <t>Produção de spots para divulgação dos concertos da Orquestra Filarmônica de Minas Gerais durante a Temporada 2026 e produção de fonogramas com a menção dos patrocinadores para reprodução no foyer da Sala Minas Gerais antes de todos os concertos.</t>
  </si>
  <si>
    <t>Serviço manutenção e apoio na elaboração da
sessão de Temporadas Anteriores do site da Orquestra Filarmônica de Minas Gerais, incluindo atualização de software e plugins, correção de bugs, realização de backups, otimização de desempenho, verificações de segurança, atualização de conteúdos, verificação de links, monitoramento de desempenho, otimização para SEO e melhoria de usabilidade. Competência: Outubro/2025</t>
  </si>
  <si>
    <t>Passagem aérea internacional (Nova Iorque - Belo Horizonte - Nova Iorque) para o solista convidado, flautista Anthony Trionfo, para os concertos Presto e Veloce 2, nos dias 26 e 27 de março de 2026, às 20h30, na Sala Minas Gerais.</t>
  </si>
  <si>
    <t>Backup em nuvem, para fins de segurança no caso de haver dano físico ou lógico nos servidores locais. Competência: Fevereiro/2026</t>
  </si>
  <si>
    <t>Passagens aéreas para a fabricante do cravo Maren Hanna Gehrts De Ambrosis Pinheiro Machado (Campinas/BH/Campinas), para executar a manutenção e afinação do instrumento para o concerto Fora de Série 1 que ocorre no dia 28/02/2026, na Sala Minas Gerais.</t>
  </si>
  <si>
    <t>Serviço de gerenciamento de bilheteria e controle de acesso para a Temporada 2025 (gestão online e bilheteria física). Competência: Janeiro/2026</t>
  </si>
  <si>
    <t>Mensalidade de internet banda larga de 600MB para o Instituto Cultural Filarmônica. Houve a troca de operadora pois a VIVO não estava mais fornecendo o sinal de banda larga. Competência: Janeiro/2026.</t>
  </si>
  <si>
    <t xml:space="preserve">IRRF Folha Mensal 01/2026, recolhido atraves de DARF unificado.                                                                                                                                                                                                </t>
  </si>
  <si>
    <t xml:space="preserve">PIS retido em guia unificada sobre folha 01/2026.                                                                                                                                                                                                              </t>
  </si>
  <si>
    <t xml:space="preserve">INSS UNIFICADO 01/2026.                                                                                                                                                                                                                                        </t>
  </si>
  <si>
    <t xml:space="preserve">Depósito judicial referente ao IR sobre aplicação financeira, competência novembro/2025 - conta 00267-9 (fundos 201 e 202)
Número do processo: 00.100.43-81.2017.4.01.3800
                                                                                    </t>
  </si>
  <si>
    <t>Contratação e matrícula de 5 jovens aprendizes em curso de aprendizagem em escola de ensino social profissionalizante. Competência: Janeiro/2026</t>
  </si>
  <si>
    <t>Prestação de serviços pelos correios em 2026.Janeiro/2026.</t>
  </si>
  <si>
    <t>Contratação de empresa para prestação de serviço de demolição de parede de drywall, com recomposição de teto, piso e paredes, e troca de duas portas de local, no 2º andar da Sala Minas Gerais</t>
  </si>
  <si>
    <t xml:space="preserve">Férias Jessica 02/2026                                                                                                                                                                                                                                         </t>
  </si>
  <si>
    <t xml:space="preserve">Adiantamento referente vale transporte mensal para os funcionarios do ICF,que utilizam o tranporte pelo sistema Transfacil. Competência: Março/2025.Parceiro(244)Transfacil.                                                                                   </t>
  </si>
  <si>
    <t xml:space="preserve">Adiantamento referente vale transporte mensal para funcionários que utilizam o transporte pelo sistema DER. Competência: Março/2026.Parceiro(245)Consorcio Otimo.                                                                                              </t>
  </si>
  <si>
    <t xml:space="preserve">Adiantamento referente vale refeição/alimentação mensal para os funcionários do ICF. Competência:Março/2026.Parceiro(14)Alelo.                                                                                                                                 </t>
  </si>
  <si>
    <t xml:space="preserve">Adiantamento referente vale cultura mensal para os funcionários do ICF.Competência:Março/2026.Parceiro(14)Alelo.                                                                                                                                               </t>
  </si>
  <si>
    <t>Plano corporativo Business Standard de emails e serviços Google. Competência: Janeiro/2026.</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</si>
  <si>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Fevereiro/2026</t>
  </si>
  <si>
    <t>Renovação automática por 12 meses do contrato de licença para firewall e monitoramento dos servidores e rede do Instituto Cultural Filarmônica. Competência: Janeiro/2026.</t>
  </si>
  <si>
    <t>Serviço de manutenção preventiva/corretiva dos 10 elevadores do predio da Sala Minas Gerais. Competência: Janeiro/2026.</t>
  </si>
  <si>
    <t>Realização de material gráfico para compor o kit dos Amigos da Filarmônica de 2026.</t>
  </si>
  <si>
    <t>Ferramenta para gerar informes de rendimentos validados com XML dos eventos S-5002 e S-2501.</t>
  </si>
  <si>
    <t>Prestação de serviços de assessoria jurídica.
Competência: Janeiro/2026</t>
  </si>
  <si>
    <t>Valor referente a avaliação biomecânica completa e confecção de palmilhas ortopédicas personalizadas, para atender as necessidades da nossa funcionária Meire Gonçalves, que tem deficiência física e precisa de adequação para a realização de seus trabalhos.</t>
  </si>
  <si>
    <t>Valor referente a avaliação biomecânica completa e confecção de palmilhas ortopédicas personalizadas, para atender as necessidades do nosso funcionário Gabriel Alves, que tem deficiência motora e precisa de adequação para a realização de seus trabalhos.</t>
  </si>
  <si>
    <t>Serviço de clipagem diária e análise de mídia dos principais veículos impressos (jornais e revistas), digitais, rádios e TVs, com foco na Orquestra Filarmônica de Minas Gerais e no setor cultural. Competência: Fevereiro/2026</t>
  </si>
  <si>
    <t>Contratação de serviço de revisão de conteúdos: programas impressos, peças gráficas digitais, e-mails, demais materiais impressos e outros materiais produzidos pelo Departamento de Comunicação. Competência: Janeiro/2026</t>
  </si>
  <si>
    <t>Afinação do piano Steinway, a serem realizados nos dias 11 e 18 de fevereiro de 2026. para ensaios e Gravação 1 que acontecerão entre os dias 11 e 21 de fevereiros de 2026, na Sala Minas Gerais.</t>
  </si>
  <si>
    <t>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Março/2026</t>
  </si>
  <si>
    <t>Contratação de assessoria contábil. Competência: Fevereiro/2026</t>
  </si>
  <si>
    <t>Contratação do serviço de redação, revisão e edição dos textos da série Fora de Série da Temporada 2026. Competência: Fevereiro/2026</t>
  </si>
  <si>
    <t>Renovação do serviço de envio automático/seriado de e-mails para o banco de contatos da Filarmônica. Competência: fevereiro/2026</t>
  </si>
  <si>
    <t>Serviço de manutenção nos oboés e corne inglês da OFMG.</t>
  </si>
  <si>
    <t>Passagem aérea nacional (Campinas - Belo Horizonte - Campinas) para a solista convidada, pianista Sonia Rubinsky, para os concertos Allegro e Vivace 2, nos dias 09 e 10 de abril de 2026, às 20h30, na Sala Minas Gerais. A solista irá trazer um piano de viagem para atender à sua rotina de estudos, o que justifica a segunda bagagem despachada.</t>
  </si>
  <si>
    <t>Contratação do serviço de redação, revisão e edição de textos das séries AV e PV da Temporada 2026. Competência: Fevereiro/2026</t>
  </si>
  <si>
    <t>Renovação de 5 licenças anuais do Adobe Creative Cloud. O Adobe Creative Cloud é um conjunto de aplicativos e serviços da Adobe Systems que dá à Comunicação acesso a uma coleção de softwares usados para design gráfico, edição de vídeo, desenvolvimento da web, fotografia, além de um conjunto de aplicativos móveis e também alguns serviços em nuvem opcionais. Vigencia: 12 meses.</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</si>
  <si>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à Dezembro 2026).</t>
  </si>
  <si>
    <t>Compra de partituras para o concerto Especial I (1 a 3 de abril). Obra: Badelt - Os Piratas do Caribe. Regente: José Soares.</t>
  </si>
  <si>
    <t>Compra de patituras para o concerto Especial I (1 a 3 de abril). Obra: Shore - Os Senhor dos Aneis. Regente: José Soares.</t>
  </si>
  <si>
    <t>Compra de partituras para o concerto Juventude II (17 de maio). Obra: Anderson - Fiddle-Faddle. Regente: José Soares.</t>
  </si>
  <si>
    <t>Compra de partituras para os concertos de Praça e Turnês Estaduais. Obra: Lara - Granada. Regente - José Soares.</t>
  </si>
  <si>
    <t>Inscrição da Gerente de Recursos Humanos no curso de especialização da DIRF.</t>
  </si>
  <si>
    <t>Compra de partituras para o concerto Especial I (1 a 3 de abril). Obra: Silvestri - Forest Gump. REgente: José Soares.</t>
  </si>
  <si>
    <t>Locação da Praça da Sala Minas Gerais, para realização da "Festa Francesíssima", para 4.000 (quatro mil) pessoas, sem bilheteria, pela LOCATÁRIA, no dia 14/03/2026</t>
  </si>
  <si>
    <t>Renovação da assinatura de suporte técnico especializado com a fabricante do software Wirecast, utilizado para as transmissões ao vivo de concertos realizadas pela Filarmônica.</t>
  </si>
  <si>
    <t>Serviço de deslocamento urbano por aplicativo (Uber), referente aos meses de janeiro a dezembro/2026.</t>
  </si>
  <si>
    <t>Compra de material de copa. Itens: 5 pacotes de açúcar cristal de 5kg; 10 pacotes de pó de café extra forte; 23 unidades de manteiga; 72 litros de leite; 2 potes herméticos redondos de vidro 300ml; 1 pote de açúcar, de plástico; 8 unidades de detergente; 7 unidades de cloro ativo; 1 caixa de pázinha misturadora de café; 10 buchas de lavar louça.</t>
  </si>
  <si>
    <t xml:space="preserve">Doação recebida através de remessa internacional pelo sistema Portal de Causas da Benevity, valor da doação em dolar U$ 2170.44 Documentos anexos.                                                                                                             </t>
  </si>
  <si>
    <t xml:space="preserve">IOF de doação recebida através de remessa internacional pelo sistema Portal de Causas da Benevity, valor da doação em dolar U$ 2170,44 Documentos anexos.                                                                                                      </t>
  </si>
  <si>
    <t xml:space="preserve">Doação recebida na conta de RPS - TED MARIA JV - 27/02.                                                                                                                                                                                                        </t>
  </si>
  <si>
    <t xml:space="preserve">Reembolso de valor de multa e juros impostos federais (DARF PIS COFINS CSLL e IR 1708) que ficaram em aberto no ano de 2025. Documentos em anexo.                                                                                                              </t>
  </si>
  <si>
    <t>Repassado ao funcionário Gabriel Felipe Alves correspondente a passagens de ônibus para deslocamentos em demandas administrativas. GABRIEL FELIPE ALVES.</t>
  </si>
  <si>
    <t>Compra de frutas e refrigerante para atender ao camarim no concerto Fora de Série no dia 28/02/2026. SUPER VAREJAO CARACA LTDA. CNPJ: 26.068.130/0003-11.</t>
  </si>
  <si>
    <t>Compra de tomada e lampada para atender a demanda do setor de infraestrutura no terceiro andar. OTHON DE CARVALHO E CIA LTDA. CNPJ: 17.185.679/0001-33.</t>
  </si>
  <si>
    <t>Taxa de redacastramento de cartoes para transporte de funcionarios. CONSORCIO OPERACIONAL DO TRANSPORTE COLETIVO DE PASSAGEIROS POR ONIBUS DO MUNICIPIO DE BELO HORIZONTE. CNPJ: 04.398.505/0001-07.</t>
  </si>
  <si>
    <t xml:space="preserve">Rendimento aplicação financeira conta movimento referente ao mês de fevereiro/2026.                                                                                                                                                                            </t>
  </si>
  <si>
    <t xml:space="preserve">IR rendimento apllicação financeira PLANO ANUAL 2026 mes de fevereiro/2026.                                                                                                                                                                                    </t>
  </si>
  <si>
    <t xml:space="preserve">IR rendimento apllicação financeira PA 2024/2025 mes de janeiro/2026.                                                                                                                                                                                          </t>
  </si>
  <si>
    <t xml:space="preserve">Rendimento aplicação financeira fevereiro/2026.                                                                                                                                                                                                                </t>
  </si>
  <si>
    <t xml:space="preserve">IR Rendimento aplicação fevereiro/2026.                                                                                                                                                                                                                        </t>
  </si>
  <si>
    <t xml:space="preserve">IOF Rendimento aplicação financeira fevereiro/2026.                                                                                                                                                                                                            </t>
  </si>
  <si>
    <t xml:space="preserve">Rendimento aplicação financeira Fevereiro/2026.                                                                                                                                                                                                                </t>
  </si>
  <si>
    <t>REPASSES</t>
  </si>
  <si>
    <t xml:space="preserve">Transferência de saldo da conta do plano bianual 24-25 (58134-8 movimento) para conta do plano anual 2026 (59904-2 captação). Até que o recurso seja transferido da conta captação para a conta de movimento, o mesmo não consta no saldo.                                                                                                                           </t>
  </si>
  <si>
    <t>Educativo</t>
  </si>
  <si>
    <t xml:space="preserve">POLIPLAC DISTRIBUIDORA LTDA                                 </t>
  </si>
  <si>
    <t>19802941000177</t>
  </si>
  <si>
    <t xml:space="preserve">KALUNGA COMERCIO E INDUSTRIA GRAFICA LTDA                   </t>
  </si>
  <si>
    <t>43283811003418</t>
  </si>
  <si>
    <t xml:space="preserve">CARTORIO DO REGISTRO CIVIL DAS PESSOAS JURIDICAS            </t>
  </si>
  <si>
    <t>25568072000160</t>
  </si>
  <si>
    <t xml:space="preserve">FEDERAL EXPRESS CORPORATION                                 </t>
  </si>
  <si>
    <t>00676486000182</t>
  </si>
  <si>
    <t xml:space="preserve">VINILTEC SINALIZACAO GRAFICA LTDA                           </t>
  </si>
  <si>
    <t>70965595000103</t>
  </si>
  <si>
    <t xml:space="preserve">LETICIA CABRAL AGUIAR                                       </t>
  </si>
  <si>
    <t>54557576000183</t>
  </si>
  <si>
    <t xml:space="preserve">HOSTESS ADMINISTRADORA DE HOTEIS LTDA - EPP                 </t>
  </si>
  <si>
    <t>71419238000102</t>
  </si>
  <si>
    <t xml:space="preserve">PRIMER INTELIGENCIA EM SERVICOS LTDA - ME                   </t>
  </si>
  <si>
    <t>10998183000130</t>
  </si>
  <si>
    <t xml:space="preserve">INGRID BARCELOS MOREIRA                                     </t>
  </si>
  <si>
    <t xml:space="preserve">13706833670   </t>
  </si>
  <si>
    <t xml:space="preserve">DANIELA RODRIGUES COSTA LISBOA                              </t>
  </si>
  <si>
    <t xml:space="preserve">01364835690   </t>
  </si>
  <si>
    <t xml:space="preserve">NICOLE PAGANINI                                             </t>
  </si>
  <si>
    <t xml:space="preserve">ELIANE RIBEIRO CATTABRIGA                                   </t>
  </si>
  <si>
    <t xml:space="preserve">12585794725   </t>
  </si>
  <si>
    <t xml:space="preserve">RAYSSA RAYANE SANTOS DE MATOS                               </t>
  </si>
  <si>
    <t xml:space="preserve">13018926617   </t>
  </si>
  <si>
    <t xml:space="preserve">GRAZIELLA SILVA TEIXEIRA LISBOA                             </t>
  </si>
  <si>
    <t xml:space="preserve">04447236680   </t>
  </si>
  <si>
    <t xml:space="preserve">KATARZYNA MARTA DRUZD                                       </t>
  </si>
  <si>
    <t xml:space="preserve">01765233674   </t>
  </si>
  <si>
    <t xml:space="preserve">PATRICIA AMANDA DE FREITAS                                  </t>
  </si>
  <si>
    <t xml:space="preserve">37107044800   </t>
  </si>
  <si>
    <t xml:space="preserve">RD GESTAO E SISTEMAS S.A.                                   </t>
  </si>
  <si>
    <t>13021784000186</t>
  </si>
  <si>
    <t xml:space="preserve">ASSISTE ENGENHARIA DE SEGURANCA DO TRABALHO LTDA            </t>
  </si>
  <si>
    <t>03053305000150</t>
  </si>
  <si>
    <t xml:space="preserve">MELOS EDICIONES MUSICALES S.A                               </t>
  </si>
  <si>
    <t xml:space="preserve">APS SERVICOS LTDA                                           </t>
  </si>
  <si>
    <t>14215267000100</t>
  </si>
  <si>
    <t xml:space="preserve">ALEXANDRE MAGALHAES REZENDE 01390633667                     </t>
  </si>
  <si>
    <t>14464540000130</t>
  </si>
  <si>
    <t xml:space="preserve">RODRIGO CALVO MORTE                                         </t>
  </si>
  <si>
    <t>03499723000175</t>
  </si>
  <si>
    <t xml:space="preserve">JOSE HUMBERTO MENDES 55940755000168                         </t>
  </si>
  <si>
    <t xml:space="preserve">38552485672   </t>
  </si>
  <si>
    <t xml:space="preserve">PLOTACAD IMPRESSAO DIGITAL LTDA                             </t>
  </si>
  <si>
    <t>04099931000140</t>
  </si>
  <si>
    <t xml:space="preserve">RAPHAEL DA SILVA RAMOS                                      </t>
  </si>
  <si>
    <t>33892499000148</t>
  </si>
  <si>
    <t xml:space="preserve">JOSECLEISE DALVA TEIXEIRA BANDEIRA                          </t>
  </si>
  <si>
    <t xml:space="preserve">09887421103   </t>
  </si>
  <si>
    <t xml:space="preserve">NATASHA PAREMSKI                                            </t>
  </si>
  <si>
    <t xml:space="preserve">RAFAEL DE MELLO MATOS 16.993.078/0001-94                    </t>
  </si>
  <si>
    <t xml:space="preserve">06940038671   </t>
  </si>
  <si>
    <t xml:space="preserve">MERCADOPAGO.COM REPRESENTACOES LTDA.                        </t>
  </si>
  <si>
    <t>10573521000191</t>
  </si>
  <si>
    <t xml:space="preserve">MUSIC THEATRE INTERNATIONAL                                 </t>
  </si>
  <si>
    <t xml:space="preserve">MEIRE AUGUSTA DA FONSECA GONCALVES                          </t>
  </si>
  <si>
    <t xml:space="preserve">03650268671   </t>
  </si>
  <si>
    <t xml:space="preserve">LUCIANO DA SILVA VIANA 05524418645                          </t>
  </si>
  <si>
    <t>20778057000123</t>
  </si>
  <si>
    <t>MAREN HANNA GEHRTS DE AMBROSIS PINHEIRO M 24.785.281/0001-01</t>
  </si>
  <si>
    <t xml:space="preserve">23151497896   </t>
  </si>
  <si>
    <t xml:space="preserve">WISEFOX AGENCIA DE VIAGENS E TURISMO LTDA - ME              </t>
  </si>
  <si>
    <t>16758212000172</t>
  </si>
  <si>
    <t xml:space="preserve">CENTRAIS DE DISTRIBUICAO RAPIDA DO BRASIL LTDA - ME         </t>
  </si>
  <si>
    <t>42764746000111</t>
  </si>
  <si>
    <t xml:space="preserve">VALMIR MOREIRA NEVES 48.582.351/0001-84                     </t>
  </si>
  <si>
    <t xml:space="preserve">85228184600   </t>
  </si>
  <si>
    <t xml:space="preserve">FABIO MARCASSA 49.967.156/0001-35                           </t>
  </si>
  <si>
    <t>49967156000135</t>
  </si>
  <si>
    <t xml:space="preserve">F. BONELLA CUNHA PROJETOS CULTURAIS - ME                    </t>
  </si>
  <si>
    <t>09117895000113</t>
  </si>
  <si>
    <t xml:space="preserve">FONSECA COUROS LTDA                                         </t>
  </si>
  <si>
    <t>71411862000155</t>
  </si>
  <si>
    <t xml:space="preserve">NELSON AYRES SOM E IMAGEM LTDA                              </t>
  </si>
  <si>
    <t>62762133000152</t>
  </si>
  <si>
    <t xml:space="preserve">ETROS COMERCIO E EMPREENDIMENTOS LTDA                       </t>
  </si>
  <si>
    <t>10286472000106</t>
  </si>
  <si>
    <t xml:space="preserve">ATLAS GOVERNANCE TECNOLOGIA LTDA                            </t>
  </si>
  <si>
    <t>25462636000186</t>
  </si>
  <si>
    <t xml:space="preserve">VINICIUS CORREIA PEREIRA DA SILVA                           </t>
  </si>
  <si>
    <t xml:space="preserve">08599624660   </t>
  </si>
  <si>
    <t xml:space="preserve">VALERIA SILVA GONCALVES 06066924605                         </t>
  </si>
  <si>
    <t>19848713000138</t>
  </si>
  <si>
    <t xml:space="preserve">FRANKLIN MARTINS BONAFE                                     </t>
  </si>
  <si>
    <t>29588457000140</t>
  </si>
  <si>
    <t xml:space="preserve">FREDERICO CRESTANA FILIPPI ARTE LTDA                        </t>
  </si>
  <si>
    <t>65477999000100</t>
  </si>
  <si>
    <t xml:space="preserve">RENATA GUIMARAES XAVIER                                     </t>
  </si>
  <si>
    <t xml:space="preserve">04479498613   </t>
  </si>
  <si>
    <t xml:space="preserve">EQUILIBRIUM                                                 </t>
  </si>
  <si>
    <t>08639047000101</t>
  </si>
  <si>
    <t xml:space="preserve">LINA RADOVANOVIC                                            </t>
  </si>
  <si>
    <t xml:space="preserve">01755948646   </t>
  </si>
  <si>
    <t xml:space="preserve">SIGN  PRINT                                                 </t>
  </si>
  <si>
    <t>00641174000133</t>
  </si>
  <si>
    <t xml:space="preserve">FLAVIANA DIAS BARBOSA MENDES                                </t>
  </si>
  <si>
    <t xml:space="preserve">00014933616   </t>
  </si>
  <si>
    <t xml:space="preserve">VIVIAN SANTANA LEANDRO FIGUEIREDO                           </t>
  </si>
  <si>
    <t xml:space="preserve">06984911656   </t>
  </si>
  <si>
    <t>23/02/2026</t>
  </si>
  <si>
    <t>02/03/2026</t>
  </si>
  <si>
    <t>01/03/2026</t>
  </si>
  <si>
    <t>04/03/2026</t>
  </si>
  <si>
    <t>28/02/2026</t>
  </si>
  <si>
    <t>05/03/2026</t>
  </si>
  <si>
    <t>19/03/2026</t>
  </si>
  <si>
    <t>06/03/2026</t>
  </si>
  <si>
    <t>09/03/2026</t>
  </si>
  <si>
    <t>16/02/2026</t>
  </si>
  <si>
    <t>03/03/2026</t>
  </si>
  <si>
    <t>10/03/2026</t>
  </si>
  <si>
    <t>17/02/2026</t>
  </si>
  <si>
    <t>11/03/2026</t>
  </si>
  <si>
    <t>12/03/2026</t>
  </si>
  <si>
    <t>20/03/2026</t>
  </si>
  <si>
    <t>17/03/2026</t>
  </si>
  <si>
    <t>13/03/2026</t>
  </si>
  <si>
    <t>18/03/2026</t>
  </si>
  <si>
    <t>24/03/2026</t>
  </si>
  <si>
    <t>14/03/2026</t>
  </si>
  <si>
    <t>16/03/2026</t>
  </si>
  <si>
    <t>23/03/2026</t>
  </si>
  <si>
    <t>26/03/2026</t>
  </si>
  <si>
    <t>31/03/2026</t>
  </si>
  <si>
    <t xml:space="preserve">CREDITO CT </t>
  </si>
  <si>
    <t>IR - SOLISTAS - LF</t>
  </si>
  <si>
    <t>PIS - SOLISTAS - LF</t>
  </si>
  <si>
    <t>COFINS - SOLISTAS - LF</t>
  </si>
  <si>
    <t>IOF - SOLISTAS  - LF</t>
  </si>
  <si>
    <t>OPE - SOLISTAS - LF</t>
  </si>
  <si>
    <t>HOSPEDAGENS</t>
  </si>
  <si>
    <t>FOTOGRAFIA</t>
  </si>
  <si>
    <t>SOLISTAS E REGENTES CONVIDADOS</t>
  </si>
  <si>
    <t xml:space="preserve">RECURSO DE PRESTAÇÃO DE SERVIÇOS        </t>
  </si>
  <si>
    <t xml:space="preserve">PLANO ANUAL 26 - CORRENTE               </t>
  </si>
  <si>
    <t xml:space="preserve">CONTRATO DE GESTÃO                      </t>
  </si>
  <si>
    <t xml:space="preserve">PROJETO FILARMONICA NA PRACA 26-27 LE   </t>
  </si>
  <si>
    <t xml:space="preserve">TERMO DE PARCERIA                       </t>
  </si>
  <si>
    <t xml:space="preserve">TP - FUNDO DE APLICAÇÃO 201             </t>
  </si>
  <si>
    <t xml:space="preserve">TP - FUNDO DE APLICAÇÃO 202             </t>
  </si>
  <si>
    <t xml:space="preserve">REC. PREST. SERV -FUNDO APLICACAO 201   </t>
  </si>
  <si>
    <t xml:space="preserve">CONTRATO DE GESTÃO - FUNDO 201          </t>
  </si>
  <si>
    <t xml:space="preserve">LE PROGRAMAÇÃO ARTÍSTICA  (APLIC) 2024  </t>
  </si>
  <si>
    <t>PROJ FILARMONICA NA PRACA 26-27 LE APLIC</t>
  </si>
  <si>
    <t xml:space="preserve">PLANO ANUAL 26 - APLICAÇÃO              </t>
  </si>
  <si>
    <t>Copos descartáveis para o público dos concertos da Temporada 2026 para o primeiro semestre, além de uso pelos músicos e administrativo do Instituto.</t>
  </si>
  <si>
    <t>Compra material escritorio: 1 agenda diaria para secretária executiva, 1 mouse sem fio para diretoria administrativa financeira</t>
  </si>
  <si>
    <t>Locação de 1 NO-BREAK'S para serem utilizados nas trasmissões online dos concertos. Competência: Fevereiro/2026.</t>
  </si>
  <si>
    <t>Link dedicado responsavel pela transmissão da Filarmonica digital e backup dos links de internet. Competência: Fevereiro/2026.</t>
  </si>
  <si>
    <t xml:space="preserve">Devolução de taxa de Audição - Principal Viola Violino, Assistente de Spalla, Contrabaixo Seção- inscrições entre 01/01/2026 a 10/02/2026 - (Audição 09/03/2026) - PIX QRS GABRIEL PEREIRA DA SILVA - 02/03.                                                   </t>
  </si>
  <si>
    <t>Aluguel de partituras para o concerto Especial 1 [1 e 2 de abril]. Obra: Hisaishi - Meu amigo Totoro. Regente: José Soares.</t>
  </si>
  <si>
    <t xml:space="preserve">Receita referente ao lincenciamento de título do álbum DVD digital: 50 anos de música. Receita acumalda de outubro 2025 a dezembro 2025. relatórios em anexo.                                                                                                  </t>
  </si>
  <si>
    <t>Serviços de vigilância externa atraves de câmeras de monitoramento. Competência: Fevereiro/2026.</t>
  </si>
  <si>
    <t>Registro de Atas da úlitma reunião do Conselho Administrativo/Assembleia Geral realizada no dia 18/11/2025.</t>
  </si>
  <si>
    <t>Compra de 24 lâmpadas Tubular T5 LED 116cm 4000ºK para substituição nas luminárias do 1º e 2º Foyer da Sala Minas Gerais</t>
  </si>
  <si>
    <t>Aluguel de partituras para os concertos Presto IV e Veloce IV (21 e 22 de maio). Obra: Ginastera - Abertura para o Fausto Crioulo. Regente: Natalia Salinas.</t>
  </si>
  <si>
    <t>Prestação de serviços pelos correios em 2026. Competência: Fevereiro/2026</t>
  </si>
  <si>
    <t>Sinalização da Sala Minas Gerais para a Temporada 2026 da Orquestra Filarmônica de Minas Gerais, incluindo banners internos com divulgação de solistas, empenas externas, adesivos dos painéis de logos do patrocinadores e adesivo de bilheteria.</t>
  </si>
  <si>
    <t>Auditoria externa independente do exercício fiscal 2025. Período para execução das atividades - Competência: Março/2026.</t>
  </si>
  <si>
    <t>Contratação da produtora U.S.C Brasil para captação e edição de áudio na execução das obras "Vereda", "Avessia", "Trama", "Viagem ao vento" e "Devaneio", da compositora Marisa Resende, pela Orquestra Filarmônica de Minas Gerais, entre os dias 18 e 21/02/2026, na Sala Minas Gerais (Chegada de equipamento no dia 17/02 à noite e montagem de equipamentos no dia 18/02, a partir das 8h).</t>
  </si>
  <si>
    <t>Contratação de serviço de 02 carregadores para mudança de salas do setor administrativo na Sala Minas Gerais, no dia 09/02/2026.</t>
  </si>
  <si>
    <t>Prestação mensal referente à contratação do regente associado José Soares. Competência: Fevereiro/2026</t>
  </si>
  <si>
    <t>Profissional tecnico especializado para suporte administrativo na cobertura de licença maternidade da Lívia Brito, Gerente de Marketing e Projetos, no periodo entre 10/11/2025 a 10/08/2026.</t>
  </si>
  <si>
    <t>Hospedagem entre os dias 10 e 20 de fevereiro de 2026 para o músico Jean Carlos Martins, contratado para complementação do naipe de percussão da gravação das obras da compositora Marisa Resende, realizada na Sala Minas Gerais. Os ensaios acontecem entre os dias 11 e 13 de fevereiro de 2026 e a gravação acontece entre os dias 18 e 21 de fevereiro de 2026.</t>
  </si>
  <si>
    <t>Serviço de conservação e limpeza. Contrato referente aos meses de Janeiro a Dezembro de 2026. Competência: janeiro/2026</t>
  </si>
  <si>
    <t>Prestação mensal referente a serviços de regente titular e Direção Artistica da Orquestra Filarmônica de Minas Gerais pelo Maestro Fábio Mechetti. Competência: fevereiro/2026</t>
  </si>
  <si>
    <t>Valor referente a bolsa de estudo, concedida pelo ICF ao candidato aprovado em edital a Academia Filarmônica. Competência: Fevereiro/2026</t>
  </si>
  <si>
    <t>Valor referente a participação na Academia Filarmônica. Competência: Fevereiro/2026</t>
  </si>
  <si>
    <t>Receita bruta da bilheteria do concerto FORA DE SÉRIE 1, realizado no dia 28022026 na Sala Minas Gerais.</t>
  </si>
  <si>
    <t>Contratação de copeira diarista temporariamente em substituição a funcionária Solange Coelho, no periodo do dia 15/12/2025 a 19/12/2025</t>
  </si>
  <si>
    <t>Compra de adaptador de video para atender a demanda do setor de infraestrutura. KALUNGA SA. CNPJ:43.283.811/0123-28.</t>
  </si>
  <si>
    <t xml:space="preserve">Adiantamento referente ao vale transporte para a nova funcionara Lara Pereira.Parceiro(244)Transfacil.                                                                                                                                                         </t>
  </si>
  <si>
    <t xml:space="preserve">Devolução de taxa de Audição - Principal Viola Violino, Assistente de Spalla, Contrabaixo Seção (Audição 09/03/2026) - PIX DEVOLVIDO 21 CANDIDATOS NÃO APROVADOS NA 1° ETAPA - RELATÓRIO EM ANEXO                                                              </t>
  </si>
  <si>
    <t xml:space="preserve">Pensao folha fevereiro/2026.                                                                                                                                                                                                                                   </t>
  </si>
  <si>
    <t xml:space="preserve">FGTS emprestimo consignado folha 02/2026                                                                                                                                                                                                                       </t>
  </si>
  <si>
    <t xml:space="preserve">FGTS folha 02/2026                                                                                                                                                                                                                                             </t>
  </si>
  <si>
    <t xml:space="preserve">Associação dos músicos Folha 02/2026.                                                                                                                                                                                                                          </t>
  </si>
  <si>
    <t xml:space="preserve">Pagamento  estagiaria folha 02/2026.                                                                                                                                                                                                                           </t>
  </si>
  <si>
    <t xml:space="preserve">Pagamento folha 02/2026.                                                                                                                                                                                                                                       </t>
  </si>
  <si>
    <t xml:space="preserve">Repasse SEC - Referente ao contrato de Gestão 03/2026.                                                                                                                                                                                                         </t>
  </si>
  <si>
    <t>Compra de frutas, biscoitos e refrigerantes para atender ao camarim nos Concertos Presto e Veloce 1, nos dias 05/03/2026 e 06/03/2026. SUPER VAREJAO CARACA. CNPJ: 26.068.130/0003-11.</t>
  </si>
  <si>
    <t>Aluguel de partituras para o concerto Fora de Série III [30 de maio]. Obra: Adams - Short Ride in Fast Machine. Regente: José Soares.</t>
  </si>
  <si>
    <t>Aluguel de partituras para o concerto Fora de Série III (30 de maio). Obra: Stravinsly - O canto do rouxinol. Regente: José Soares.</t>
  </si>
  <si>
    <t xml:space="preserve">Adiantamento referente ao valor referente ao benefício de refeição dos  novos funcionarios Gerry e Lara.Parceiro(14)Alelo.                                                                                                                                     </t>
  </si>
  <si>
    <t xml:space="preserve">Adiantamento valor referente ao benefício de alimentação da bolsista Valeria Prata e reemissão de cartão.Parceiro(14)Alelo.                                                                                                                                    </t>
  </si>
  <si>
    <t xml:space="preserve">Adiantamento  referente a contratação do ecossistema RD Station (Marketing, CRM e Conversas) para estruturar, integrar e automatizar a comunicação institucional em uma única plataforma.Competencia: Jan/2026.Parceiro(3910)RD Gestão.                        </t>
  </si>
  <si>
    <t xml:space="preserve">Adiantamento ao serviços de implantação e ativação da solução RD Station, incluindo onboarding, configuração inicial, ativação do WhatsApp, integrações, capacitação da equipe e suporte durante a implementação.Competencia:Jan/2026.Parceiro(3910)RD Gestão. </t>
  </si>
  <si>
    <t>Mensalidade de medicina e segurança do trabalho (PPRA)</t>
  </si>
  <si>
    <t>Mensalidade de medicina e segurança do trabalho (PCMSO).</t>
  </si>
  <si>
    <t xml:space="preserve">Doação recebida na conta de RPS - PIX TRANSF JOSE OL 06/03.                                                                                                                                                                                                    </t>
  </si>
  <si>
    <t xml:space="preserve">Doação recebida na conta de RPS - PIX TRANSF MARCOS MOURA 06/03.                                                                                                                                                                                               </t>
  </si>
  <si>
    <t>Receita Bruta estacionamento, competência 02/2026.</t>
  </si>
  <si>
    <t xml:space="preserve">Repasse Patrocínio Projeto Filarmônica na Praça (2026 - 2027)- CA 2024 3809 0414- CEMIG DISTRIBUICAO S.A - 06.981.180/0001-16                                                                                                                                  </t>
  </si>
  <si>
    <t>Plano de saúde corporativo com abrangência nacional. Competência: Março/2026.</t>
  </si>
  <si>
    <t>Locação da Sala de Concertos da Sala Minas Gerais, para realização de Concerto Nova Orquestra – Tributo a Bruno Mars, para 1448 (mil quatrocentos e quarenta e oito) pessoas, com bilheteria, pela LOCATÁRIA, a ser realizado das 14h às 23h, do dia 16/05/2026,</t>
  </si>
  <si>
    <t xml:space="preserve">Diferença arredondamento de ISS no sistema da DES.                                                                                                                                                                                                             </t>
  </si>
  <si>
    <t xml:space="preserve">Diferença de arredondamento de ISS no sistema da DES.                                                                                                                                                                                                          </t>
  </si>
  <si>
    <t xml:space="preserve">Depósito judicial referente ao ISS sobre receita da competência Fevereiro/2026
Processo: 50253977120178130024-                                                                                                                                                 </t>
  </si>
  <si>
    <t xml:space="preserve">Diferença de arredondamento sistema DES 022026.                                                                                                                                                                                                                </t>
  </si>
  <si>
    <t>Receita locação espaço café, correspondente a 7% da receita bruta total, conforme relatório anexo da competência 02/2026.</t>
  </si>
  <si>
    <t xml:space="preserve">Adiantamento aos creditos para envio de mensagens de utilidade via WhatsApp (notificações e atualizações de transações autorizadas). Consumo conforme uso da plataforma, conforme regras da Meta.Parceiro (3910) RD Gestão.                                    </t>
  </si>
  <si>
    <t xml:space="preserve">Adiantamento referente ao vale transporte para a novo mensageiro Paulo.Parceiro (244)Transfacil.                                                                                                                                                               </t>
  </si>
  <si>
    <t>Aluguel de partituras para o concerto Fora de Série III (30 de maio). Obra: Herrmann - Psicose. Regente: José Soares.</t>
  </si>
  <si>
    <t>Aluguel de partituras para o concerto Fora de Série III (30 de maio). Obra: Stravinsly - Suite n.1. Regente: José Soares.</t>
  </si>
  <si>
    <t>Aluguel de partituras para o Fora de Série III (30 de maio). Obra: Stravinsky - Danças Concertantes. Regente: José Soares.</t>
  </si>
  <si>
    <t>Serviço do cartório de notas. Despesas com reconhecimento de Firma Zilka, Diomar  e  Joaquim.</t>
  </si>
  <si>
    <t xml:space="preserve">Adiantamento referente ao benefício de refeição do funcionario novo Paulo.Parceiro (14)Alelo.                                                                                                                                                                  </t>
  </si>
  <si>
    <t>Contratação do ERP Domínio, Implantação e Treinamento dos módulos Contabilidade, Escrita Fiscal, Atualizar, Patrimônio, Lalur, Folha de Pagamento, Auditoria, Portal do Cliente e Portal do Empregado. 
Número de usuários simultâneos: 5
Competência: fevereiro/2026</t>
  </si>
  <si>
    <t>Suporte de horas técnicas referente apoio/Configuração Depreciação - Contabilidade</t>
  </si>
  <si>
    <t>Mensalidade de internet banda larga de 240MB para a Sala Minas Gerais. Competência: Fevereiro/20266</t>
  </si>
  <si>
    <t>Renovação contratual anual da licença de uso do software de Ponto Eletrônico. Competência: Março/2026</t>
  </si>
  <si>
    <t xml:space="preserve">Devolução de pagamento efetuado no dia 26/02/2026 para o representante legal para ele realizar a quitação pela conta da empresa.                                                                                                                               </t>
  </si>
  <si>
    <t xml:space="preserve">Valor estornado a Pessoa física representante legal da empresa, para que o pagamento seja realiado via conta empresarial.                                                                                                                                      </t>
  </si>
  <si>
    <t xml:space="preserve">Doação recebida na conta de RPS -TED LÚCIA G P 10/03.                                                                                                                                                                                                          </t>
  </si>
  <si>
    <t xml:space="preserve">Repasse doações não incentivadas recebidas através do site Abrace Uma Causa mes 02/2026. Relatório em anexo.                                                                                                                                                   </t>
  </si>
  <si>
    <t>Aluguel de partituras para os concertos Allegro II e Vivace II (9 e 10 de abril). Obra: Villa-Lobos - Concerto para piano n.4. Solista: Sonia Rubinsky. Regente: José Soares.</t>
  </si>
  <si>
    <t>Mensalidade de telefonia fixa para a Sala Minas Gerais, sede do Instituto Cultural Filarmônica. Competência: Fevereiro/2026</t>
  </si>
  <si>
    <t>Locação da Sala de concertos e Foyer do 1º pavimento, para realização do evento em forma de palestra Cura pelo Afeto, de Fabrício Carpinejar</t>
  </si>
  <si>
    <t>Passagens aéreas para o percussionista Leonardo Caire (São Paulo/BH/Goiania), para os concertos Allegro Vivace 1 a serem realizados nos dias 12/03/2026 a 13/03/2026, na Sala Minas Gerais.</t>
  </si>
  <si>
    <t xml:space="preserve">Pagamento realizado pela empresa após estorno do valor ter sido realizado para a conta fisica do representante legal.                                                                                                                                          </t>
  </si>
  <si>
    <t>Taxa de recadastramento de cartão antigos para serem utilizados por novos funcionários. COnsorcio Operacional do Transporte Coletivo de Passageiros por onibus do municipio de belo horizonte. CNPJ: 04.398.505/0001-07</t>
  </si>
  <si>
    <t>Compra de material elétrico e material de cabeamento estruturado (conector rj45 fêmea, condulete, cabo PP, plugues), para reestruturação das estações de trabalho na nova sala de comunicação e marketing</t>
  </si>
  <si>
    <t>Compra diária de pães para os funcionários do ICF a fim de atender a determinação da convenção coletiva dos funcionários do ICF (Sindec). Competência: Fevereiro/2026</t>
  </si>
  <si>
    <t>Hospedagem entre os dias 26 e 28 de fevereiro de 2026 para a profissional Maren Gehrts, que fará a manutenção e afinação no cravo da OFMG.</t>
  </si>
  <si>
    <t>Prestação de serviços de receptivo referente aos Concertos da Orquestra Filarmônica, na Sala Minas Gerais em Praças da RMBH e Turne Estadual, para  Temporada 2026.</t>
  </si>
  <si>
    <t>Serviço de clipagem diária e análise de mídia dos principais veículos impressos (jornais e revistas), digitais, rádios e TVs, com foco na Orquestra Filarmônica de Minas Gerais e no setor cultural. Competência: Março/2026</t>
  </si>
  <si>
    <t>Cobertura fotográfica de 7 concertos da Temporada 2026 da Orquestra Filarmônica de Minas Gerais. Ref: Fora de Série 1</t>
  </si>
  <si>
    <t>Encomenda de 3 arranjos para o Especial 2 (30 de abril e 1 de maio). Obras: Milton Nascimento - A lua girou, Casamento de Negros e Volver a los 17. Regente: José Soares.</t>
  </si>
  <si>
    <t>Mensalidade contratual para o serviço de suporte em TI. Competência: Fevereiro/2026</t>
  </si>
  <si>
    <t>Passagens aéreas para a compositora Marisa Resende (RJ/BH/RJ) para os concertos Allegro e Vivace 1, nos dias 12 e 13/03/2026, na Sala Minas Gerais às 20h30. A orquestra executará a obra Avessia, de autoria da compositora.</t>
  </si>
  <si>
    <t>Contratação de serviço de licenciamento de software para registro anônimo de denúncias dos funcionários do Instituto Cultural Filarmônica. Competência: Fevereiro/2026.</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</si>
  <si>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Fevereiro/2026</t>
  </si>
  <si>
    <t>Mensalidade para locação de impressoras e franquia de impressões, na sede administrativa do Instituto Cultural Filarmônica. Competência: Fevereiro/2026</t>
  </si>
  <si>
    <t>Hospedagem para o engenheiro de som Ulrich Schneider, técnico de som Márcio Torres e compositora Marisa Resende entre os dias 17/02/2026 e 22/02/2026 para a gravação das obras da compositora Marisa Resende na Sala Minas Gerais. O período compreende chegada do equipamento, montagem, gravação, desmontagem e embarque do equipamento.</t>
  </si>
  <si>
    <t>Reunião de encerramento das atividades do presidente Diomar Silveira.</t>
  </si>
  <si>
    <t>Horas técnicas de TI na manutenção dos computadores do ICF, (Backups, instalação de softwares, configuração de roteadores, formatação de máquinas, dentre outros.</t>
  </si>
  <si>
    <t>Contratação de transporte executivo para atendimento a solistas e regentes convidados.
Competência: Fevereiro a Dezembro de 2026</t>
  </si>
  <si>
    <t>Contratação do serviço de impressão e instalação dos banners das caixas retroiluminadas que ficam na fachada frontal da Sala Minas Gerais. Serão 6 banners em lona backlight 2,93 x 0,93 - 4x0 cores.</t>
  </si>
  <si>
    <t>Receita bruta da bilheteria do concerto PRESTO 1, realizado no dia 05/03/2026 na Sala Minas Gerais.</t>
  </si>
  <si>
    <t>Receita bruta da bilheteria do concerto VELOCE 1, realizado no dia 06/03/2026 na Sala Minas Gerais.</t>
  </si>
  <si>
    <t>Compra de Alicate para atender a demanda do setor de infraestrutura. GURGELMIX MAQUINAS E FERRAMENTAS S.A. CNPJ: 29.302.348/0009-72</t>
  </si>
  <si>
    <t>Compra de frutas para atender ao camarim no Concerto Allegro 1, no dia 12/03/2026. SUPER VAREJAO CARACA LTDA. CNPJ:26.068.130/0003-11.</t>
  </si>
  <si>
    <t xml:space="preserve">Devolução de taxa de Audição - Principal Viola Violino, Assistente de Spalla, Contrabaixo Seção (Audição 09/03/2026) - PIX DEVOLVIDO 21 CANDIDATOS - RELATÓRIO EM ANEXO                                                                                        </t>
  </si>
  <si>
    <t xml:space="preserve">Adiantamento referente ao certificado digital e-cnpj A1 para o ICF para o periodo de um ano e 2 certificados A3 e-cnpj para o setor de RH e contabil no periodo de 2 anos..Parceiro (5321)Dinamica.                                                            </t>
  </si>
  <si>
    <t>Serviço para a recuperação de arquivos antigos que ainda estão no site antigo da Filarmônica, e transferência para o novo servidor.</t>
  </si>
  <si>
    <t xml:space="preserve">Férias Josecleise 03/2026                                                                                                                                                                                                                                      </t>
  </si>
  <si>
    <t xml:space="preserve">Férias Camila Campos 03/2026                                                                                                                                                                                                                                   </t>
  </si>
  <si>
    <t>Repassado ao funcionário Graziano de Carvalho correspondente a passagens de ônibus para deslocamentos em demandas administrativas. Graziano de Carvalho.</t>
  </si>
  <si>
    <t xml:space="preserve">Estorno de TED Devolvida                                                                                                                                                                                                                                       </t>
  </si>
  <si>
    <t>Contratação da pianista Natasha Paremski como solista convidada nos concertos Presto e Veloce 1, nos dias 05 e 06/03/2026, às 20h30, na Sala Minas Gerais.</t>
  </si>
  <si>
    <t>Contratação de Rafael de Mello Matos, músico de notória qualidade musical, para participação como percussionista junto à Orquestra Filarmônica de MG, a título de complementação de posições necessárias ao repertório no concerto Fora de Série 1, a serem realizados no dia 28 de fevereiro de 2026, na sala Minas Gerais.</t>
  </si>
  <si>
    <t xml:space="preserve">Adiantamento referente a aquisição de um isolador para garantir a continuidade e a qualidade da utilização do sistema de som.Parceiro(5347)RCK Audio(2385)Mercadopago.                                                                                         </t>
  </si>
  <si>
    <t xml:space="preserve">Pagamento refeito de TED Devolvida                                                                                                                                                                                                                             </t>
  </si>
  <si>
    <t xml:space="preserve">Depósito realizado a maior dia 13/03 e devolução realizado dia 17/03.                                                                                                                                                                                          </t>
  </si>
  <si>
    <t>Despesas com IPTU referente ao Termo de Uso da Sala Minas Gerais. Competência: Janeiro/2026</t>
  </si>
  <si>
    <t>Despesas com manutenção do sistema de CFTV referente ao Termo de Uso da Sala Minas Gerais. Competência: Janeiro/2026</t>
  </si>
  <si>
    <t>Despesas com serviços de manutenção e reparos referente ao Termo de Uso da Sala Minas Gerais. Competência: janeiro/2026</t>
  </si>
  <si>
    <t>Despesas com energia elétrica referente ao Termo de Uso da Sala Minas Gerais. Competência: Janeiro/2026</t>
  </si>
  <si>
    <t>Despesas com água e esgoto referente ao Termo de Uso da Sala Minas Gerais. Competência: Janeiro/2026</t>
  </si>
  <si>
    <t>Impressões digitais para diretoria administrativa financeira.</t>
  </si>
  <si>
    <t>Veiculação de spots na rádio CBN BH para divulgação da Temporada 2025. Competência: fevereiro/2026</t>
  </si>
  <si>
    <t>Prêmio do seguro de vida para os funcionários do Instituto, no período de 01/05/2025 a 01/05/2026. Competência: fevereiro/2026</t>
  </si>
  <si>
    <t>Mensalidade de telefonia móvel e modens móveis para o Instituto Cultural Filarmônica. Competência: feverneiro/2026.</t>
  </si>
  <si>
    <t>Compra de frutas para atender ao camarim no Concerto Camara 1 no dia 17/03/2026. SUPER VAREJAO CARACA LTDA. CNPJ: 26.068.130/0003-11.</t>
  </si>
  <si>
    <t>Compra de Coversor Display para atender a demanda do setor de T.I. SETOR INFO COMERCIO E INFORMATICA LTDA. CNPJ:31.674.527/0001-25.</t>
  </si>
  <si>
    <t xml:space="preserve">Devolução de depósito realizado a maior dia 13/03 realizado.                                                                                                                                                                                                   </t>
  </si>
  <si>
    <t>Aluguel de partituras para os concertos Presto III e Veloce III (16 e 17 de abril). Obra: Wolf-Ferrari - O Segredo de Susanna. Regente: Fabio Mechetti. Solistas: Raquel Paulin e Lício Bruno.</t>
  </si>
  <si>
    <t>Compra de material de escritório: 5 unidades de apontador com depósito; 3 unidades de mousepad; 1 unidade de mouse USB;
4 cartelas com 2 unidades de pilha palito AAA; 1 unidade de agenda 2026; 1 caixa de clips a2 1000 unidades; 1 caixa de clips a3 1000 unidades; 5 unidades de borracha com capa; 4 unidades de telefone fixo; 2 unidades de Displayport para VGA; 2 unidades de hdmi para VGA; 2 unidades de cabo de hdmi para displayport; 3 unidades de adaptador de rede USB 100/1000; 1 caneta pincel para quadro branco – cor preta; 3 unidades de fone de ouvido.</t>
  </si>
  <si>
    <t>Pedido complementar ao pedido 73756 - adesivação das duas placas do foyer da Sala Minas Gerais, sendo elas: placa com texto sobre missão, visão e valoresa do ICF; e placa de agradecimento aos patrocinadores e parceiros.</t>
  </si>
  <si>
    <t xml:space="preserve">Pagamento Realizado em duplicidade Fatura 37237, reembolso Realizado pelo cliente 19/03.                                                                                                                                                                       </t>
  </si>
  <si>
    <t xml:space="preserve">Depósito judicial referente ao Cofins sobre receita da competência fevereiro/2026.
Processo: 00203084520174013800. ID: 120621000342306146                                                                                                                      </t>
  </si>
  <si>
    <t xml:space="preserve">Depósito judicial referente ao IR sobre aplicação financeira, competência Fevereiro/2026 conta 00268-7 (fundos- 201)
Número do processo: 00100438120174013800
                                                                                                 </t>
  </si>
  <si>
    <t xml:space="preserve">Endosso 03710000009 referente a exclusao de 1 violino, 1 viola, 2 arcos e 2 trambones. Diferenca de  R$ 1,71 a maior referente a correção monetaria, documentos em anexo.                                                                                      </t>
  </si>
  <si>
    <t xml:space="preserve">Depósito judicial referente ao IOF sobre aplicação financeira, competência fevereiro - conta 00267-9 (fundos 201).
Número do processo: 00100438120174013800
                                                                                                   </t>
  </si>
  <si>
    <t xml:space="preserve">Depósito judicial referente ao IR sobre aplicação financeira, competência fevereiro/2026 - conta 00267-9 (fundos 201 e 202)
Número do processo: 00.100.43-81.2017.4.01.3800
                                                                                   </t>
  </si>
  <si>
    <t xml:space="preserve">Férias Meire 03/2026                                                                                                                                                                                                                                           </t>
  </si>
  <si>
    <t>Atendentes no período de captação de recursos do Programa Amigos da Filarmônica e Campanha de Assinaturas, para apoio no atendimento telefônico e presencial, bem como na montagem dos kits da Temporada 2026. Competência: Fevereiro/2026.</t>
  </si>
  <si>
    <t>Cobertura fotográfica de 7 concertos da Temporada 2026 da Orquestra Filarmônica de Minas Gerais. Ref: Presto/Veloce 1</t>
  </si>
  <si>
    <t>Serviço técnico de manutenção e afinação do cravo da OFMG.</t>
  </si>
  <si>
    <t>Compra de lanche para atender reunião do Conselho Administrativo no dia 05/03/2026. o lanche em questão foi servido a 15 pessoas.</t>
  </si>
  <si>
    <t>Contratação de Rafael de Mello Matos, músico de notória qualidade musical, para participação como percussionista junto à Orquestra Filarmônica de MG, a título de complementação de posições necessárias ao repertório nos concertos Presto Veloce 1, a serem realizados nos dias 5 e 6 de março de 2026, na sala Minas Gerais.</t>
  </si>
  <si>
    <t>Entrega de kit de assinatura e amigos da Filarmônica. E também entrega de kits para patrocinadores. As entregas serão realizadas no período de 27/01  a 01/03/2026</t>
  </si>
  <si>
    <t>Serviço de manutenção em cadeiras da Sala Mians Gerais</t>
  </si>
  <si>
    <t>A Abrace Uma Causa foi contratada para desenvolver e operar  a plataforma tecnológica para venda do programa Amigos da Filarmônica. Valor referente a percentual sobre o arrecadação do Programa Amigos da Filarmônica. Competência: Fevereiro/2026.</t>
  </si>
  <si>
    <t>Serviço de distribuição do Guia de Bolso da temporada 2026, em pontos estratégicos da cidade de Belo Horizonte.</t>
  </si>
  <si>
    <t>Encomenda de arranjo para os concertos em Praças e Turnês Estaduais. Obra: Gil - Domingo no Parque. Arranjador: Guilherme Mannis. Regente: José Soares.</t>
  </si>
  <si>
    <t>Receita bruta da bilheteria do concerto ALLEGRO 1, realizado no dia 12/03/2026 na Sala Minas Gerais.</t>
  </si>
  <si>
    <t>Receita bruta da bilheteria do concerto VIVACE  1, realizado no dia 13/03/2026 na Sala Minas Gerais.</t>
  </si>
  <si>
    <t>Compra de material para os concertos Especial 1  que acontecerão entre os dias 01 e 03 de abril de 2026 na Sala Minas Gerais.</t>
  </si>
  <si>
    <t xml:space="preserve">Reembolso Realizado pelo cliente devido pagamento em duplicidade da Fatura 37237.                                                                                                                                                                              </t>
  </si>
  <si>
    <t xml:space="preserve">Rescisao assistente de operação.                                                                                                                                                                                                                               </t>
  </si>
  <si>
    <t xml:space="preserve">Adiantamento referente a compra de 10 metros de flanela para limpeza dos instrumentos da OFMG.Parceiro(5362)Anette(2385)Mercadopago.                                                                                                                           </t>
  </si>
  <si>
    <t xml:space="preserve">Adiantamento referente a compra de material para os concertos Especial 1  que acontecerão entre os dias 01 e 03 de abril de 2026 na Sala Minas Gerais.Parceiro(5363)BR Componetes(2385)Mercadopago.                                                            </t>
  </si>
  <si>
    <t>Hospedagem para a pianista Natasha Paremski, solista convidada dos concertos Presto e Veloce 1, nos dias 05 e 06/03/2026, às 20h30, na Sala Minas Gerais.</t>
  </si>
  <si>
    <t>Pagamento de taxa de conferencia/homologação de rescisão contratual de Bruno Eduardo Silva Lopes de Aguiar. Sindicato dos Trabalhadores em Entidades Culturais. CNPJ:00.786.960/0001-29.</t>
  </si>
  <si>
    <t>Encomenda de arranjos para o Especial II - 30 de abril e 01 de maio. Obras: Milton Nascimento: Noites do Sertão, Terceira Margem do Rio, Cais, Paula e Bebeto e Maria Solidária. Arranjador: Nelson Ayres. Regente: José Soares. Solista: Monica Salmaso.</t>
  </si>
  <si>
    <t xml:space="preserve">Adiantamento referente ao serviço de lavanderia peças diversas da OFMG.Parceiro (4098)Etros.                                                                                                                                                                   </t>
  </si>
  <si>
    <t xml:space="preserve">Adiantamento referente a um kit de toalhas de rosto preta para o naipe de percussão.Parceiro(5372)Machi Toalhas(5372)Mercadopago.                                                                                                                              </t>
  </si>
  <si>
    <t>Contratação e matrícula de 5 jovens aprendizes em curso de aprendizagem em escola de ensino social profissionalizante. Competência: Fevereiro/2026</t>
  </si>
  <si>
    <t>A contratação do portal AtlasGov visa a otimização operacional dos processos de governança através da centralização de documentos e automação de rotinas (pautas e atas). A plataforma fortalece a segurança e o compliance, garantindo rastreabilidade total de dados sensíveis e conformidade com a LGPD. Além disso, potencializa a tomada de decisão ao permitir o acesso remoto ágil e seguro para conselheiros e diretores, alinhando a organização às melhores práticas de transparência e eficiência junto aos seus stakeholders. Licenciamento anual para 25 usuários.</t>
  </si>
  <si>
    <t>Mensalidade referente a licença de uso do sistema de gestão Sankhya-W e Licença de Uso da plataforma "Universidade Sankhya" (sistema Sankhya OM - Sistema de Gestão Empresarial Sankhya OM - Competência Março/2026</t>
  </si>
  <si>
    <t xml:space="preserve">Diferença de 0,01 arredondamento de recolhimento na emissão da Guia.                                                                                                                                                                                           </t>
  </si>
  <si>
    <t xml:space="preserve">IRRF Folha Mensal 02/2026, recolhido atraves de DARF unificado.                                                                                                                                                                                                </t>
  </si>
  <si>
    <t xml:space="preserve">PIS retido em guia unificada sobre folha 02/2026.                                                                                                                                                                                                              </t>
  </si>
  <si>
    <t xml:space="preserve">INSS UNIFICADO 02/2026.                                                                                                                                                                                                                                        </t>
  </si>
  <si>
    <t>Compra de biscoitos e frutas para arender ao camarim no Concerto Juventude 1 no dia 22/03/2026. SUPER VAREJAO CARACA LTDA. CNPJ: 26.068.130/0003-11.</t>
  </si>
  <si>
    <t>Compra de bucha de fixacao para atender ao setor de operacoes/infraestrutura. ELETRICA E FERRAGENS DIAS LTDA. CNPJ: 01.635.506/0001-30.</t>
  </si>
  <si>
    <t>Mensalidade de internet banda larga de 600MB para o Instituto Cultural Filarmônica. Houve a troca de operadora pois a VIVO não estava mais fornecendo o sinal de banda larga. Competência: Fevereiro/2026.</t>
  </si>
  <si>
    <t>Backup em nuvem, para fins de segurança no caso de haver dano físico ou lógico nos servidores locais. Competência: Março/2026</t>
  </si>
  <si>
    <t>Impressão dos programas do concerto Fora de Série 1, da Orquestra Filarmônica de Minas Gerais.</t>
  </si>
  <si>
    <t xml:space="preserve">Doação recebida em dinheiro de Maria Angela do Nascimento.                                                                                                                                                                                                     </t>
  </si>
  <si>
    <t>Compra de po de cafe para reposicao da copa. ORGANIZACAO VERDEMAR LTDA. CNPJ:65.124.307/0020-02.</t>
  </si>
  <si>
    <t xml:space="preserve">Estorno realizados em mar/26 na conta corrente, referente cobranças indevidas identificadas pelo banco (AEC e AD, período pré-2021).                                                                                                                           </t>
  </si>
  <si>
    <t xml:space="preserve">Férias Vinicius 03/2026                                                                                                                                                                                                                                        </t>
  </si>
  <si>
    <t xml:space="preserve">Férias Flora 03/2026                                                                                                                                                                                                                                           </t>
  </si>
  <si>
    <t>Serviço de impressão dos programas do concerto Presto e veloce 1, da Orquestra Filarmônica de Minas Gerais.</t>
  </si>
  <si>
    <t>Contratação de serviço de revisão de conteúdos: programas impressos, peças gráficas digitais, e-mails, demais materiais impressos e outros materiais produzidos pelo Departamento de Comunicação. Competência: Fevereiro/2026</t>
  </si>
  <si>
    <t>Cobertura fotográfica de 6 concertos da Temporada 2026 da Orquestra Filarmônica de Minas Gerais. Ref: Allegro/Vivace 1</t>
  </si>
  <si>
    <t>Hospedagem para Franklin Martins, musicista de notória qualidade musical, para participação como violoncelista junto à Orquestra Filarmônica de MG, a título de complementação de posições necessárias ao repertório nos concertos Allegro/Vivace 1, a serem realizados nos dias 12 e 13/03/2026 na sala Minas Gerais.</t>
  </si>
  <si>
    <t>Hospedagem para Leonardo Caire, musicista de notória qualidade musical, para participação como percussionista junto à Orquestra Filarmônica de MG, a título de complementação de posições necessárias ao repertório nos concertos Allegro/Vivace 1, a serem realizados nos dias 12 e 13/03/2026 na sala Minas Gerais.</t>
  </si>
  <si>
    <t>Contratação de Franklin Martins, músico de notória qualidade musical, para participação como violoncelista junto à Orquestra Filarmônica de MG, a título de complementação de posições necessárias ao repertório nos concertos Allegro Vivace 1, a serem realizados nos dias 12 e 13 de março de 2026, na sala Minas Gerais.</t>
  </si>
  <si>
    <t>Contratação de assessoria contábil. Competência: Março/2026</t>
  </si>
  <si>
    <t>Prestação de serviços de assessoria jurídica.
Competência: Fevereiro/2026</t>
  </si>
  <si>
    <t>Passagens aéreas nacionais para os solistas Rafael Cesário (violoncelista, o instrumento viaja na cabine na cadeira ao lado do solista) e Maria Carla Pino Cury (soprano), convidados para o concerto Fora de Série 2, no dia 25 de abril de 2026, às 18h, na Sala Minas Gerais.</t>
  </si>
  <si>
    <t>Reparo na bateria usada na máquina de ponto usada pela orquestra, em substituição a bateria anterior no limite da vida útil.</t>
  </si>
  <si>
    <t>Serviço de gerenciamento de bilheteria e controle de acesso para a Temporada 2025 (gestão online e bilheteria física). Competência: Fevereiro/2026</t>
  </si>
  <si>
    <t>Contratação de serviço de designer para atender à grande demanda de produção de peças gráficas para o início da temporada 2026.</t>
  </si>
  <si>
    <t>Hospedagem para a compositora Marisa Resende entre os dias 11/03/2026 e 14/03/2026 para os concertos Allegro e Vivace 1, que acontecerão nos dias 12 e 13/03/2026, às 20h30, na Sala Minas Gerais. A Orquestra executará Avessia, uma das obras da compositora.</t>
  </si>
  <si>
    <t>Pesquisa de cargos e salários. Continuidade pedido 61895.</t>
  </si>
  <si>
    <t>Compra de cabo HDMI, filtro de linha de 5 tomadas, abraçadeiras de nylon e adaptadores de tomada para o setor de operações</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</si>
  <si>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Fevereiro/2026</t>
  </si>
  <si>
    <t xml:space="preserve">Adiantamento referente ao vale transporte mensal para funcionarios que utilizam o transporte pelo sistema DER.Competência:Abril/2026.Parceiro (245) Consorcio Otimo.                                                                                           </t>
  </si>
  <si>
    <t xml:space="preserve">Adiantamento vale transporte mensal para os funcionarios do ICF, que utilizam o tranporte pelo sistema Transfacil.Competência: Abril/2026.Parceiro (244)Transfacil.                                                                                            </t>
  </si>
  <si>
    <t xml:space="preserve">Adiantamento vale cultura para os funcionarios do ICF.Competencia:Abril/2026.Parceiro (14)Alelo.                                                                                                                                                               </t>
  </si>
  <si>
    <t>Compra de frutas para atender ao camarim no Concerto Presto 2 no dia 26/03/2026. SUPER VAREJAO CARACA LTDA. CNPJ:26.068.130/0003-11.</t>
  </si>
  <si>
    <t>Compra de refrigerantes, cafe e sucos para entender ao camarim nos concertos Presto e Veloce 2 nos dias 26 e 27/03/2026. DMA DISTRIBUIDORA SA. CNPJ:01.928.075/0016-86.</t>
  </si>
  <si>
    <t xml:space="preserve">Adiantamento referente a implementação dos serviços de e-mail marketing.Parceiro (3910)RD Gestão.                                                                                                                                                              </t>
  </si>
  <si>
    <t>Adiantamento referente a contratação de plataforma de disparo de e-mails marketing que permitirá centralizar o contato com o público no mesmo ambiente do atendimento via WhatsApp,estruturando um atendimento omnichannel para o ICF.Parceiro (3910)RD Gestão.</t>
  </si>
  <si>
    <t xml:space="preserve">Adiantamento referente ao benefício de alimentação do novo funcionário Deyverson Amorim e do Rodrigo Monteiro.Parceiro (14)Alelo.                                                                                                                              </t>
  </si>
  <si>
    <t xml:space="preserve">Adiantamento referente vale alimentação mensal para os funcionários do ICF.Competência: Abril/2026.Parceiro (14)Alelo.                                                                                                                                         </t>
  </si>
  <si>
    <t xml:space="preserve">Adiantamento referente vale refeição mensal para os funcionários do ICF.Competência:Abril/2026.Parceiro (14)Alelo.                                                                                                                                             </t>
  </si>
  <si>
    <t>Serviço de impressão de dois banners roll-up com estruturas novas, para cumprir a contrapartida de patrocínio da Petrobras.</t>
  </si>
  <si>
    <t>Auditoria externa independente do exercício fiscal 2025. Período para execução das atividades - Competência: Fevereiro/2026.</t>
  </si>
  <si>
    <t>Impressão de 641 cartões de amigos produzidos através da Abrace Uma Causa para a temporada 2026.</t>
  </si>
  <si>
    <t xml:space="preserve">Repasse doações incentivadas recebida na conta captação (59904-2) em 26/03/2026.                                                                                                                                                                               </t>
  </si>
  <si>
    <t>Locação da Praça da Sala Minas Gerais, para realização do "Uaine – Festival de Vinhos", para 4.000 (quatro mil) pessoas, com bilheteria, a preços populares, pela LOCATÁRIA, no dia 28/03/2026</t>
  </si>
  <si>
    <t>Link dedicado responsavel pela transmissão da Filarmonica digital e backup dos links de internet. Competência: Abril/2026.</t>
  </si>
  <si>
    <t>Contratação do serviço de redação, revisão e edição de textos das séries AV e PV da Temporada 2026. Competência: Março/2026</t>
  </si>
  <si>
    <t>Locação de 1 NO-BREAK'S para serem utilizados nas trasmissões online dos concertos. Competência: Março/2026.</t>
  </si>
  <si>
    <t>Impressões para atender a reunião do conselho e associados.Empresa:PAQ Serviços CPNJ:06.946.804/0001-64.</t>
  </si>
  <si>
    <t xml:space="preserve">Férias Flaviana 04/2026                                                                                                                                                                                                                                        </t>
  </si>
  <si>
    <t xml:space="preserve">Férias Vivian 04/2026                                                                                                                                                                                                                                          </t>
  </si>
  <si>
    <t>Compra de fita papel kraft para atender a demanda do setor de Gerencia da Orquestra. DISTRIBUIDORA TRIANGULO LTDA. CNPJ: 17.498.163/0006-53.</t>
  </si>
  <si>
    <t>Compra de po de cafe para reposicao da copa. DMA DISTRIBUIDORA SA. CNPJ:01.928.075/0016-86</t>
  </si>
  <si>
    <t xml:space="preserve">Rendimento aplicação financeira Março/2026.                                                                                                                                                                                                                    </t>
  </si>
  <si>
    <t xml:space="preserve">IR Rendimento aplicação Março/2026.                                                                                                                                                                                                                            </t>
  </si>
  <si>
    <t xml:space="preserve">IOF Rendimento aplicação financeira Março/2026.                                                                                                                                                                                                                </t>
  </si>
  <si>
    <t xml:space="preserve">Rendimento aplicação financeira conta movimento referente ao mês de Março/2026.                                                                                                                                                                                </t>
  </si>
  <si>
    <t xml:space="preserve">IR rendimento apllicação financeira PLANO ANUAL 2026 mes de Março/2026.                                                                                                                                                                                        </t>
  </si>
  <si>
    <t xml:space="preserve">Contratação de transporte executivo para atendimento a solistas e regentes convidados. Competência: Fevereiro/2026
</t>
  </si>
  <si>
    <t>00878-3 - Captação Estadual</t>
  </si>
  <si>
    <t>Pedido complementar ao pedido 74102 – Impressão e instalação do banner 1 das caixas retroiluminadas da fachada frontal da Sala Minas Gerais. A demanda visa o ajuste do layout da lona para otimizar a legibilidade da menção ao Ministério da Cultura.</t>
  </si>
  <si>
    <t>ISS sobre Confecção do espaço instagramável da Petrobras, com 25 cubos 60x60cm, conforme foto ilustrativa em anexo.</t>
  </si>
  <si>
    <t>ISS sobre Serviço de lavanderia para lavagem de toalhas dos camarins. Etros Comercio e Empreendimentos Ltda. CNPJ: 10.286.472/0001-06</t>
  </si>
  <si>
    <t>ISS sobre Produção de spots para divulgação dos concertos da Orquestra Filarmônica de Minas Gerais durante a Temporada 2025, produção de fonogramas com a menção dos patrocinadores para reprodução no foyer da Sala Minas Gerais antes de todos os concertos e produção de áudios de locução para vídeos de divulgação dos projetos e concertos da orquestra.</t>
  </si>
  <si>
    <t>ISS sobre Impressão de flyers de divulgação da Campanha Assinaturas 2026.</t>
  </si>
  <si>
    <t>ISS sobre Confecção do cartão de agradecimento assinado pelo maestro Fabio Mechetti, para compor o kit imprensa 2026; e confecção do cartão-presente de nova assinatura 2026.</t>
  </si>
  <si>
    <t>ISS sobre Contratação de empresa para confecção de duas placas de sinalização de área do estacionamento da Sala Minas Gerais</t>
  </si>
  <si>
    <t>ISS sobre Backup em nuvem, para fins de segurança no caso de haver dano físico ou lógico nos servidores locais. Competência: Dezembro/2025</t>
  </si>
  <si>
    <t>ISS sobre Serviço de lavanderia - Peças diversas da OFMG</t>
  </si>
  <si>
    <t>ISS sobre Contratação do serviço de distribuição do panfleto de divulgação da Campanha de Assinaturas, em locais selecionados da cidade de Belo Horizonte.</t>
  </si>
  <si>
    <t>ISS sobre Contratação de serviço de copeira para substituição da Solange Maria copeira do ICF dos dias 02/12 a 05/12</t>
  </si>
  <si>
    <t>ISS sobre Impressão dos itens que compõe o Kit da Temporada 2026: calendário, guia de bolso, envelope grande, porta-cartão, carta do presidente e carta da diretoria de marketing.</t>
  </si>
  <si>
    <t>ISS sobre Produção de vídeo institucional para divulgação da Temporada 2026.</t>
  </si>
  <si>
    <t>ISS sobre Atendentes no período de captação de recursos do Programa Amigos da Filarmônica e Campanha de Assinaturas, para apoio no atendimento telefônico e presencial, bem como na montagem dos kits da Temporada 2026. Competência: Novembro/2025</t>
  </si>
  <si>
    <t>ISS sobre Confecção de quadro com foto e assinaturas dos músicos e funcionários.</t>
  </si>
  <si>
    <t>ISS sobre Serviço técnico especializado de sonorização e iluminação nos dias 08, 09, e 10 de dezembro  de 2025 para Evento de terceiro, Recital da Academia, Música de Câmara, ensaios da OFMG a serem realizados na Sala Minas Gerais.</t>
  </si>
  <si>
    <t>ISS sobre Taxa de visita técnica para atendimento em PABX, configuração de sistema do ICF.</t>
  </si>
  <si>
    <t>ISS sobre Contratação de transporte executivo para atendimento a solistas e regentes convidados.
Competência: Outubro/2025</t>
  </si>
  <si>
    <t>ISS sobre Contratação de empresa para confecção de 3 placas de sinalização de área do estacionamento da Sala Minas Gerais</t>
  </si>
  <si>
    <t>ISS sobre Taxa de redastramento de cartao de passagem do funcionario Helio Sardinha. Transfacil. CNPJ: 04.398.505/0001-07</t>
  </si>
  <si>
    <t>ISS sobre Despesas com cópias de chaves: 2 cópias para o setor de Operacoes, 2 para o Recursos Humanos e 1 para o setor de Producao. Chaveiro Barro Preto Ltda. CNPJ: 07.796.148/0001-23</t>
  </si>
  <si>
    <t>ISS sobre Serviço de impressão de certificados para atender a demanda do setor de comunicação. Futura Express Solucoes Digitais Ltda. CNPJ: 04.125.446/0001-01.</t>
  </si>
  <si>
    <t>ISS sobre Serviço de impressão em papel fotografico para atender demanda do setor de comunicação. Futura Express Solucoes Digitais Ltda. CNPJ: 04.125.446/0001-01.</t>
  </si>
  <si>
    <t>ISS sobre Confecção de Placa em aço inox, 15cm x 21cm, com estojo.</t>
  </si>
  <si>
    <t>ISS sobre Mensalidade de medicina e segurança do trabalho (PPRA,PCMSO). Competência: Novembro/2025</t>
  </si>
  <si>
    <t>ISS sobre Vale transporte mensal para funcionários que utilizam o transporte pelo sistema DER. Competência: janeiro/2026</t>
  </si>
  <si>
    <t>ISS sobre Vale transporte mensal para os funcionários do ICF, que utilizam o tranporte pelo sistema Transfacil. Competência: janeiro/2026</t>
  </si>
  <si>
    <t>ISS sobre Renovação contratual anual da licença de uso do software de Ponto Eletrônico. Competência: Dezembro/2025</t>
  </si>
  <si>
    <t>ISS sobre Plano de saúde corporativo com abrangência nacional. Competência: Janeiro/2026</t>
  </si>
  <si>
    <t>ISS sobre Renovação contratual anual da licença de uso do software de Ponto Eletrônico. Competência: janeiro/2026</t>
  </si>
  <si>
    <t>ISS sobre Horas técnicas de TI na manutenção dos computadores do ICF (Backups, instalação de softwares, configuração de roteadores, formatação de máquinas, dentre outros).</t>
  </si>
  <si>
    <t>ISS sobre Backup em nuvem, para fins de segurança no caso de haver dano físico ou lógico nos servidores locais. Competência: Janeiro/2026</t>
  </si>
  <si>
    <t>ISS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Janeiro/2026</t>
  </si>
  <si>
    <t>ISS sobre Serviço de clipagem diária e análise de mídia dos principais veículos impressos (jornais e revistas), digitais, rádios e TVs, com foco na Orquestra Filarmônica de Minas Gerais e no setor cultural. Competência: Janeiro/2026</t>
  </si>
  <si>
    <t>ISS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Dezembro/2025.</t>
  </si>
  <si>
    <t>ISS sobre Locação de ônibus para transporte do Coral Canarinhos de Itabirito  por ocasião do Concerto Especial Natal nos dias 17 e 18/12/2025.</t>
  </si>
  <si>
    <t>ISS sobre Atendentes no período de captação de recursos do Programa Amigos da Filarmônica e Campanha de Assinaturas, para apoio no atendimento telefônico e presencial, bem como na montagem dos kits da Temporada 2026. Competência: Dezembro/2025</t>
  </si>
  <si>
    <t>ISS sobre Contratação de transporte executivo para atendimento a solistas e regentes convidados.
Competência: Novembro/2025</t>
  </si>
  <si>
    <t>ISS sobre Impressão de 6 cartazes para arquivo e prestação de contas, referente à Turnê Estadual - Diamantina 2025.</t>
  </si>
  <si>
    <t>ISS sobre Locação de mesa para servir o lanche do concerto da OFMG com a participação especial do Coral Canarinhos de Itabirito entre os dias 15/12 a 19/12.</t>
  </si>
  <si>
    <t>ISS sobre Contratação da empresa para serviços advocatícios para acompanhamento do processo n° 1091551-61.2025.8.13.0024.</t>
  </si>
  <si>
    <t>ISS sobre Contratação de empresa para prestação de serviço de carregadores, para retirada e recolocação dos móveis do ICF durante mudança de layout de salas.</t>
  </si>
  <si>
    <t>ISS sobre Mensalidade de medicina e segurança do trabalho (PPRA,PCMSO). Competência: Dezembro/2025</t>
  </si>
  <si>
    <t>ISS sobre Impressão de 18 programas dos concertos das Turnês Estaduais Araxá, Pouso ALegre e Governador Valadares, de 2025, para compor a prestação de contas.</t>
  </si>
  <si>
    <t>ISS sobre Plano de saúde corporativo com abrangência nacional. Competência: Fevereiro/2026.</t>
  </si>
  <si>
    <t>ISS sobre Contratação de Paulo Rosa, musicista de notória qualidade musical, pela participação como saxofonista junto à Orquestra Filarmônica de MG, por meio da empresa ELISETE GOMES, a título de complementação de posições necessárias ao repertório apresentado nos concertos Allegro/ Vivace 10 a serem realizados nos dias 11 e 12/12/2025, na Sala Minas Gerais.</t>
  </si>
  <si>
    <t>ISS sobre Contratação de empresa especializada na prestação de serviços de vigilância patrimonia. Competência: Dezembro/2025</t>
  </si>
  <si>
    <t>ISS sobre Vale transporte mensal para funcionários que utilizam o transporte pelo sistema DER. Competência: Fevereiro/2026</t>
  </si>
  <si>
    <t>ISS sobre Vale transporte mensal para os funcionários do ICF, que utilizam o tranporte pelo sistema Transfacil. Competência: Fevereiro/2026</t>
  </si>
  <si>
    <t>ISS sobre Serviços de vigilância externa atraves de câmeras de monitoramento. Competência: Janeiro/2026.</t>
  </si>
  <si>
    <t>ISS sobre Contratação de assessoria contábil. Competência: Janeiro/2026</t>
  </si>
  <si>
    <t>ISS sobre Atendentes no período de captação de recursos do Programa Amigos da Filarmônica e Campanha de Assinaturas, para apoio no atendimento telefônico e presencial, bem como na montagem dos kits da Temporada 2026. Competência: Janeiro/2026.</t>
  </si>
  <si>
    <t>ISS sobre Serviço de manutenção preventiva/corretiva dos 10 elevadores do predio da Sala Minas Gerais. Competência: Janeiro/2026.</t>
  </si>
  <si>
    <t>ISS sobre Mensalidade contratual para o serviço de suporte em TI. Competência: Janeiro/2026</t>
  </si>
  <si>
    <t>ISS sobre Realização de material gráfico para compor o kit dos Amigos da Filarmônica de 2026.</t>
  </si>
  <si>
    <t>ISS sobre Serviço de manutenção e upgrade do console (mesa de som, número de série 9019161409) Digico SD9 que, da cabine técnica, controla todo o sistema de sonorização da Sala Minas Gerais.</t>
  </si>
  <si>
    <t>ISS sobre Mensalidade de assessoria administrativa-financeira para a gestão dos projetos aprovados nos mecanismos de incentivo fiscal para a manutenção e realização das Temporadas 2025 e 2026 da Orquestra Filarmônica de Minas Gerais. Competência: Janeiro/2026.</t>
  </si>
  <si>
    <t>ISS sobre Impressão de cartas para complementar o material de orientações para os Amigos da Filarmônica 2026.</t>
  </si>
  <si>
    <t>ISS sobre Renovação contratual anual da licença de uso do software de Ponto Eletrônico. Competência: Fevereiiro/2026</t>
  </si>
  <si>
    <t>ISS sobre Produção de spots para divulgação dos concertos da Orquestra Filarmônica de Minas Gerais durante a Temporada 2026 e produção de fonogramas com a menção dos patrocinadores para reprodução no foyer da Sala Minas Gerais antes de todos os concertos.</t>
  </si>
  <si>
    <t>ISS sobre Serviço manutenção e apoio na elaboração da
sessão de Temporadas Anteriores do site da Orquestra Filarmônica de Minas Gerais, incluindo atualização de software e plugins, correção de bugs, realização de backups, otimização de desempenho, verificações de segurança, atualização de conteúdos, verificação de links, monitoramento de desempenho, otimização para SEO e melhoria de usabilidade. Competência: Outubro/2025</t>
  </si>
  <si>
    <t>ISS sobre Certificado digital e-CPF A1 para o diretor Presidente Wilson Brumer. Período: 02/2026  a 02/2027.</t>
  </si>
  <si>
    <t>ISS sobre Backup em nuvem, para fins de segurança no caso de haver dano físico ou lógico nos servidores locais. Competência: Fevereiro/2026</t>
  </si>
  <si>
    <t>ISS sobre Prestação mensal referente a serviços de regente titular e Direção Artistica da Orquestra Filarmônica de Minas Gerais pelo Maestro Fábio Mechetti. Competência: janeiro/2026</t>
  </si>
  <si>
    <t>ISS sobre Prestação mensal referente à contratação do regente associado José Soares. Competência: Janeiro/2026</t>
  </si>
  <si>
    <t>ISS sobre Prestação de serviços de assessoria jurídica.
Competência: Janeiro/2026</t>
  </si>
  <si>
    <t>ISS sobre Valor referente a avaliação biomecânica completa e confecção de palmilhas ortopédicas personalizadas, para atender as necessidades da nossa funcionária Meire Gonçalves, que tem deficiência física e precisa de adequação para a realização de seus trabalhos.</t>
  </si>
  <si>
    <t>ISS sobre Valor referente a avaliação biomecânica completa e confecção de palmilhas ortopédicas personalizadas, para atender as necessidades do nosso funcionário Gabriel Alves, que tem deficiência motora e precisa de adequação para a realização de seus trabalhos.</t>
  </si>
  <si>
    <t>ISS sobre Serviço de clipagem diária e análise de mídia dos principais veículos impressos (jornais e revistas), digitais, rádios e TVs, com foco na Orquestra Filarmônica de Minas Gerais e no setor cultural. Competência: Fevereiro/2026</t>
  </si>
  <si>
    <t>ISS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Março/2026</t>
  </si>
  <si>
    <t>ISS sobre Contratação de assessoria contábil. Competência: Fevereiro/2026</t>
  </si>
  <si>
    <t>ISS sobre Sinalização da Sala Minas Gerais para a Temporada 2026 da Orquestra Filarmônica de Minas Gerais, incluindo banners internos com divulgação de solistas, empenas externas, adesivos dos painéis de logos do patrocinadores e adesivo de bilheteria.</t>
  </si>
  <si>
    <t>ISS sobre Contratação de empresa para prestação de serviço de demolição de parede de drywall, com recomposição de teto, piso e paredes, e troca de duas portas de local, no 2º andar da Sala Minas Gerais</t>
  </si>
  <si>
    <t>ISS sobre Certificado digital e-CPF A1 para o diretor adiministrativo-financeiro Joaquim Barreto. Período: 02/2026  a 02/2027.</t>
  </si>
  <si>
    <t>ISS sobre Intérprete de Libras para concertos da OFMG Temporada 2025, na Sala Minas Gerais e em Praças da RMBH. Ref: Câmara 6</t>
  </si>
  <si>
    <t>ISS sobre Serviço de manutenção nos oboés e corne inglês da OFMG.</t>
  </si>
  <si>
    <t>ISS sobre Serviços de vigilância externa atraves de câmeras de monitoramento. Competência: Fevereiro/2026.</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</si>
  <si>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à Dezembro 2026).</t>
  </si>
  <si>
    <t>ISS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Janeiro/2026</t>
  </si>
  <si>
    <t>ISS sobre Serviço de gerenciamento de bilheteria e controle de acesso para a Temporada 2025 (gestão online e bilheteria física). Competência: Janeiro/2026</t>
  </si>
  <si>
    <t>ISS sobre Contratação de serviço de 02 carregadores para mudança de salas do setor administrativo na Sala Minas Gerais, no dia 09/02/2026.</t>
  </si>
  <si>
    <t>ISS sobre Vale transporte mensal para funcionários que utilizam o transporte pelo sistema DER. Competência: Março/2026</t>
  </si>
  <si>
    <t>ISS sobre Vale transporte mensal para os funcionários do ICF, que utilizam o tranporte pelo sistema Transfacil. Competência: Março/2025</t>
  </si>
  <si>
    <t>ISS sobre Plano de saúde corporativo com abrangência nacional. Competência: Março/2026.</t>
  </si>
  <si>
    <t>ISS sobre Hospedagem entre os dias 10 e 20 de fevereiro de 2026 para o músico Jean Carlos Martins, contratado para complementação do naipe de percussão da gravação das obras da compositora Marisa Resende, realizada na Sala Minas Gerais. Os ensaios acontecem entre os dias 11 e 13 de fevereiro de 2026 e a gravação acontece entre os dias 18 e 21 de fevereiro de 2026.</t>
  </si>
  <si>
    <t>ISS sobre Serviço de conservação e limpeza. Contrato referente aos meses de Janeiro a Dezembro de 2026. Competência: janeiro/2026</t>
  </si>
  <si>
    <t>ISS sobre Taxa de redacastramento de cartoes para transporte de funcionarios. CONSORCIO OPERACIONAL DO TRANSPORTE COLETIVO DE PASSAGEIROS POR ONIBUS DO MUNICIPIO DE BELO HORIZONTE. CNPJ: 04.398.505/0001-07.</t>
  </si>
  <si>
    <t>ISS sobre Mensalidade de medicina e segurança do trabalho (PPRA)</t>
  </si>
  <si>
    <t>ISS sobre Mensalidade de medicina e segurança do trabalho (PCMSO).</t>
  </si>
  <si>
    <t>ISS sobre Contratação de copeira diarista temporariamente em substituição a funcionária Solange Coelho, no periodo do dia 15/12/2025 a 19/12/2025</t>
  </si>
  <si>
    <t>ISS sobre Contratação da pianista Natasha Paremski como solista convidada nos concertos Presto e Veloce 1, nos dias 05 e 06/03/2026, às 20h30, na Sala Minas Gerais.</t>
  </si>
  <si>
    <t>COFINS sobre Contratação da pianista Natasha Paremski como solista convidada nos concertos Presto e Veloce 1, nos dias 05 e 06/03/2026, às 20h30, na Sala Minas Gerais.</t>
  </si>
  <si>
    <t xml:space="preserve">PIS, COFINS E CSLL sobre NF                                                                                                                                                                                                                                       </t>
  </si>
  <si>
    <t>PIS, COFINS E 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outubro/2024.</t>
  </si>
  <si>
    <t>PIS, COFINS E CSLL sobre Atendentes no período de captação de recursos do Programa Amigos da Filarmônica e Campanha de Assinaturas, para apoio no atendimento telefônico e presencial, bem como na montagem dos kits da Temporada 2026. Competência: Novembro/2025</t>
  </si>
  <si>
    <t>PIS, COFINS E CSLL sobre Serviços de vigilância externa atraves de câmeras de monitoramento. Competência: Dezembro/2025.</t>
  </si>
  <si>
    <t>PIS, COFINS E CSLL sobre Contratação de serviço de copeira para substituição da Solange Maria copeira do ICF dos dias 02/12 a 05/12</t>
  </si>
  <si>
    <t>PIS, COFINS E CSLL sobre Suporte de horas técnicas referente a consultoria para o setor de Contabilidade e Pessoal.</t>
  </si>
  <si>
    <t>PIS, COFINS E CSLL sobre Serviços de vigilância externa atraves de câmeras de monitoramento. Competência: Janeiro/2026.</t>
  </si>
  <si>
    <t>PIS, COFINS E CSLL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Janeiro/2026</t>
  </si>
  <si>
    <t>PIS, COFINS E CSLL sobre Contratação de empresa para prestação de serviço de carregadores, para retirada e recolocação dos móveis do ICF durante mudança de layout de salas.</t>
  </si>
  <si>
    <t>PIS, COFINS E CSLL sobre Auditoria externa independente do exercício fiscal 2025. Período para execução das atividades - 09/2025 a 03/2026. Competência: Janeiro/2026.</t>
  </si>
  <si>
    <t>PIS, COFINS E CSLL sobre Contratação de empresa especializada na prestação de serviços de vigilância patrimonia. Competência: Dezembro/2025</t>
  </si>
  <si>
    <t>PIS, COFINS E CSLL sobre Atendentes no período de captação de recursos do Programa Amigos da Filarmônica e Campanha de Assinaturas, para apoio no atendimento telefônico e presencial, bem como na montagem dos kits da Temporada 2026. Competência: Dezembro/2025</t>
  </si>
  <si>
    <t>PIS, COFINS E CSLL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Dezembro/2025.</t>
  </si>
  <si>
    <t>PIS, COFINS E CSLL sobre Contratação do ERP Domínio, Implantação e Treinamento dos módulos Contabilidade, Escrita Fiscal, Atualizar, Patrimônio, Lalur, Folha de Pagamento, Auditoria, Portal do Cliente e Portal do Empregado. 
Número de usuários simultâneos: 5
Competência: janeiro/2026</t>
  </si>
  <si>
    <t>PIS, COFINS E CSLL sobre Contratação do ERP Domínio, Implantação e Treinamento dos módulos Contabilidade, Escrita Fiscal, Atualizar, Patrimônio, Lalur, Folha de Pagamento, Auditoria, Portal do Cliente e Portal do Empregado. 
Número de usuários simultâneos: 5
Competência: Dezembro/2025</t>
  </si>
  <si>
    <t>INSS sobre Equipe de seguranças para o concerto da OFMG, na Praça da Estação – Governador Valadares/MG, no dia 19/07/2025.</t>
  </si>
  <si>
    <t>INSS sobre Locação de ônibus para transporte da OFMG (músicos e equipe) por ocasião do concerto em Araxá nos dias 04/09/2025 a 07/09/2025.</t>
  </si>
  <si>
    <t>INSS sobre Contratação de serviço de copeira para substituição da Solange Maria copeira do ICF dos dias 02/12 a 05/12</t>
  </si>
  <si>
    <t>INSS sobre Atendentes no período de captação de recursos do Programa Amigos da Filarmônica e Campanha de Assinaturas, para apoio no atendimento telefônico e presencial, bem como na montagem dos kits da Temporada 2026. Competência: Novembro/2025</t>
  </si>
  <si>
    <t>INSS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Dezembro/2025.</t>
  </si>
  <si>
    <t>INSS sobre Atendentes no período de captação de recursos do Programa Amigos da Filarmônica e Campanha de Assinaturas, para apoio no atendimento telefônico e presencial, bem como na montagem dos kits da Temporada 2026. Competência: Dezembro/2025</t>
  </si>
  <si>
    <t>INSS sobre Contratação de empresa para prestação de serviço de carregadores, para retirada e recolocação dos móveis do ICF durante mudança de layout de salas.</t>
  </si>
  <si>
    <t>INSS sobre Contratação de empresa especializada na prestação de serviços de vigilância patrimonia. Competência: Dezembro/2025</t>
  </si>
  <si>
    <t>INSS sobre Atendentes no período de captação de recursos do Programa Amigos da Filarmônica e Campanha de Assinaturas, para apoio no atendimento telefônico e presencial, bem como na montagem dos kits da Temporada 2026. Competência: Janeiro/2026.</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</si>
  <si>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à Dezembro 2026).</t>
  </si>
  <si>
    <t>INSS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Janeiro/2026</t>
  </si>
  <si>
    <t>INSS sobre Serviço de gerenciamento de bilheteria e controle de acesso para a Temporada 2025 (gestão online e bilheteria física). Competência: Janeiro/2026</t>
  </si>
  <si>
    <t>INSS sobre Contratação de serviço de 02 carregadores para mudança de salas do setor administrativo na Sala Minas Gerais, no dia 09/02/2026.</t>
  </si>
  <si>
    <t>INSS sobre Serviço de conservação e limpeza. Contrato referente aos meses de Janeiro a Dezembro de 2026. Competência: janeiro/2026</t>
  </si>
  <si>
    <t>INSS sobre Contratação de copeira diarista temporariamente em substituição a funcionária Solange Coelho, no periodo do dia 15/12/2025 a 19/12/2025</t>
  </si>
  <si>
    <t>Imposto de Renda sobre Equipe de seguranças para o concerto da OFMG  em Catas Altas - MG no dia 30/08/2024.</t>
  </si>
  <si>
    <t>Imposto de Renda sobre Equipe de seguranças para o concerto da OFMG  em Belo Vale – MG  no dia 24/08/2024.</t>
  </si>
  <si>
    <t>Imposto de Renda sobre Contratação do Saxofonista Robson Saquett, para atuação junto à Orquestra, a título de complementação de posição necessária ao repertório dos concertos Allegro/Vivace 1 no dia 20/03/2025 e 21/03/2025 na Sala Minas Gerais.</t>
  </si>
  <si>
    <t>Imposto de Renda sobre Suporte de horas técnicas referente a consultoria para Setor RH.</t>
  </si>
  <si>
    <t>Imposto de Renda sobre Mensalidade de medicina e segurança do trabalho (PPRA,PCMSO). Competência: Julho/2025</t>
  </si>
  <si>
    <t>Imposto de Renda sobre Auditoria externa independente do exercício fiscal 2025. Período para execução das atividades. Competência: Dezembro/2025</t>
  </si>
  <si>
    <t>Imposto de Renda sobre Contratação de serviço de copeira para substituição da Solange Maria copeira do ICF dos dias 02/12 a 05/12</t>
  </si>
  <si>
    <t>Imposto de Renda sobre Atendentes no período de captação de recursos do Programa Amigos da Filarmônica e Campanha de Assinaturas, para apoio no atendimento telefônico e presencial, bem como na montagem dos kits da Temporada 2026. Competência: Novembro/2025</t>
  </si>
  <si>
    <t>Imposto de Renda sobre Contratação de empresa especializada para aplicação de pesquisa de satisfação, a fim de se identificar e analisar as percepções e opiniões do público dos concertos da Orquestra Filarmônica de Minas Gerais em cumprimento do produto 05 e ao indicador 8.1 do Contrato de Gestão 06/2020. Tal pesquisa contribuirá ainda para o planejamento das temporadas subsequentes da orquestra, pretendendo-se a melhoria da experiência na Sala Minas Gerais.</t>
  </si>
  <si>
    <t>Imposto de Renda sobre Suporte de horas técnicas referente a consultoria para o setor de Contabilidade e Pessoal.</t>
  </si>
  <si>
    <t>Imposto de Renda sobre Mensalidade de medicina e segurança do trabalho (PPRA,PCMSO). Competência: Novembro/2025</t>
  </si>
  <si>
    <t>Imposto de Renda sobre Plano de saúde corporativo com abrangência nacional. Competência: Janeiro/2026</t>
  </si>
  <si>
    <t>Imposto de Renda sobre Aluguel de partituras para o concerto Fora de Série I (29 de fevereiro). Obra: Britten - Sinfonia simples. Regente: José Soares.</t>
  </si>
  <si>
    <t>Imposto de Renda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Janeiro/2026</t>
  </si>
  <si>
    <t>Imposto de Renda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Dezembro/2025.</t>
  </si>
  <si>
    <t>Imposto de Renda sobre Atendentes no período de captação de recursos do Programa Amigos da Filarmônica e Campanha de Assinaturas, para apoio no atendimento telefônico e presencial, bem como na montagem dos kits da Temporada 2026. Competência: Dezembro/2025</t>
  </si>
  <si>
    <t>Imposto de Renda sobre Auditoria externa independente do exercício fiscal 2025. Período para execução das atividades - 09/2025 a 03/2026. Competência: Janeiro/2026.</t>
  </si>
  <si>
    <t>Imposto de Renda sobre Contratação de empresa para prestação de serviço de carregadores, para retirada e recolocação dos móveis do ICF durante mudança de layout de salas.</t>
  </si>
  <si>
    <t>Imposto de Renda sobre Mensalidade de medicina e segurança do trabalho (PPRA,PCMSO). Competência: Dezembro/2025</t>
  </si>
  <si>
    <t>Imposto de Renda sobre Plano de saúde corporativo com abrangência nacional. Competência: Fevereiro/2026.</t>
  </si>
  <si>
    <t>Imposto de Renda sobre Contratação de empresa especializada na prestação de serviços de vigilância patrimonia. Competência: Dezembro/2025</t>
  </si>
  <si>
    <t>Imposto de Renda sobre Serviços de vigilância externa atraves de câmeras de monitoramento. Competência: Janeiro/2026.</t>
  </si>
  <si>
    <t>Imposto de Renda sobre Aluguel de partituras para o concerto Especial 1 [1 e 2 de abril]. Obra: Hisaishi - Meu amigo Totoro. Regente: José Soares.</t>
  </si>
  <si>
    <t>Imposto de Renda sobre Aluguel de partituras para o concerto Fora de Série III (30 de maio). Obra: Herrmann - Psicose. Regente: José Soares.</t>
  </si>
  <si>
    <t>Imposto de Renda sobre Aluguel de partituras para o concerto Fora de Série III (30 de maio). Obra: Stravinsly - Suite n.1. Regente: José Soares.</t>
  </si>
  <si>
    <t>Imposto de Renda sobre Aluguel de partituras para o Fora de Série III (30 de maio). Obra: Stravinsky - Danças Concertantes. Regente: José Soares.</t>
  </si>
  <si>
    <t>Imposto de Renda sobre Aluguel de partituras para os concertos Allegro II e Vivace II (9 e 10 de abril). Obra: Villa-Lobos - Concerto para piano n.4. Solista: Sonia Rubinsky. Regente: José Soares.</t>
  </si>
  <si>
    <t>Imposto de Renda sobre Contratação da pianista Natasha Paremski como solista convidada nos concertos Presto e Veloce 1, nos dias 05 e 06/03/2026, às 20h30, na Sala Minas Gerais.</t>
  </si>
  <si>
    <t>Imposto de Renda sobre Aluguel de partituras para os concertos Presto III e Veloce III (16 e 17 de abril). Obra: Wolf-Ferrari - O Segredo de Susanna. Regente: Fabio Mechetti. Solistas: Raquel Paulin e Lício Bruno.</t>
  </si>
  <si>
    <t>Imposto de Renda sobre Atendentes no período de captação de recursos do Programa Amigos da Filarmônica e Campanha de Assinaturas, para apoio no atendimento telefônico e presencial, bem como na montagem dos kits da Temporada 2026. Competência: Janeiro/2026.</t>
  </si>
  <si>
    <t>Imposto de Renda sobre Serviço de manutenção preventiva/corretiva dos 10 elevadores do predio da Sala Minas Gerais. Competência: Janeiro/2026.</t>
  </si>
  <si>
    <t>Imposto de Renda sobre Prestação mensal referente a serviços de regente titular e Direção Artistica da Orquestra Filarmônica de Minas Gerais pelo Maestro Fábio Mechetti. Competência: janeiro/2026</t>
  </si>
  <si>
    <t>Imposto de Renda sobre Auditoria externa independente do exercício fiscal 2025. Período para execução das atividades - Competência: Março/2026.</t>
  </si>
  <si>
    <t>Imposto de Renda sobre Serviços de vigilância externa atraves de câmeras de monitoramento. Competência: Fevereiro/2026.</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</si>
  <si>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à Dezembro 2026).</t>
  </si>
  <si>
    <t>Imposto de Renda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Janeiro/2026</t>
  </si>
  <si>
    <t>Imposto de Renda sobre Serviço de gerenciamento de bilheteria e controle de acesso para a Temporada 2025 (gestão online e bilheteria física). Competência: Janeiro/2026</t>
  </si>
  <si>
    <t>Imposto de Renda sobre Contratação de serviço de 02 carregadores para mudança de salas do setor administrativo na Sala Minas Gerais, no dia 09/02/2026.</t>
  </si>
  <si>
    <t>Imposto de Renda sobre Serviço de conservação e limpeza. Contrato referente aos meses de Janeiro a Dezembro de 2026. Competência: janeiro/2026</t>
  </si>
  <si>
    <t>Imposto de Renda sobre Mensalidade de medicina e segurança do trabalho (PCMSO).</t>
  </si>
  <si>
    <t>Imposto de Renda sobre Contratação de copeira diarista temporariamente em substituição a funcionária Solange Coelho, no periodo do dia 15/12/2025 a 19/12/2025</t>
  </si>
  <si>
    <t>Imposto de Renda sobre Plano de saúde corporativo com abrangência nacional. Competência: Março/2026.</t>
  </si>
  <si>
    <t>PIS sobre Contratação da pianista Natasha Paremski como solista convidada nos concertos Presto e Veloce 1, nos dias 05 e 06/03/2026, às 20h30, na Sala Minas Gerais.</t>
  </si>
  <si>
    <t xml:space="preserve">PIS, COFINS E CSLL sobre  Contratação de serviço de 02 carregadores para mudança de salas do setor administrativo na Sala Minas Gerais, no dia 09/02/2026.                                                                                                                                                                                                                </t>
  </si>
  <si>
    <t xml:space="preserve">PIS, COFINS E CSLL sobre NF Contratação de copeira diarista temporariamente em substituição a funcionária Solange Coelho, no periodo do dia 15/12/2025 a 19/12/2025                                                                                                                                                                                                                                 </t>
  </si>
  <si>
    <t xml:space="preserve">PIS, COFINS E CSLL sobre NF Serviços de vigilância externa atraves de câmeras de monitoramento. Competência: Fevereiro/2026.                                                                                                                                                                                                                                </t>
  </si>
  <si>
    <t xml:space="preserve">IRRF Folha Mensal , recolhido atraves de DARF unificado.                                                                                                                                                                                                </t>
  </si>
  <si>
    <t>XXX373750001XX</t>
  </si>
  <si>
    <t>XXX603050001XX</t>
  </si>
  <si>
    <t>XXX47236680 XX</t>
  </si>
  <si>
    <t>XXX849360001XX</t>
  </si>
  <si>
    <t>XXX00000000 XX</t>
  </si>
  <si>
    <t>XXX18926617 XX</t>
  </si>
  <si>
    <t>XXX06833670 XX</t>
  </si>
  <si>
    <t>XXX07044800 XX</t>
  </si>
  <si>
    <t>XXX65233674 XX</t>
  </si>
  <si>
    <t>XXX64835690 XX</t>
  </si>
  <si>
    <t>XXX860740001XX</t>
  </si>
  <si>
    <t>Serviços de regencia e diretoria artística</t>
  </si>
  <si>
    <t>FAMA PRODUÇOES CULTURAIS LTDA</t>
  </si>
  <si>
    <t>XXX414930001XX</t>
  </si>
  <si>
    <t>Serviços de Regência</t>
  </si>
  <si>
    <t>XXX225430001XX</t>
  </si>
  <si>
    <t xml:space="preserve">Prestação de serviços de assessoria jurídica. </t>
  </si>
  <si>
    <t>DOLABELLA ADVOCACIA E CONSULTORIA</t>
  </si>
  <si>
    <t>XXX156600001XX</t>
  </si>
  <si>
    <t xml:space="preserve">Assessoria de imprensa </t>
  </si>
  <si>
    <t>PERSONAL PRESS ASSESSORIA DE IMPRENSA E PROJETOS LTDA</t>
  </si>
  <si>
    <t>XXX820800001XX</t>
  </si>
  <si>
    <t>XXX048080001XX</t>
  </si>
  <si>
    <t>MANUTENÇÃO, SUPORTE EM REDES, COMPUTADOR</t>
  </si>
  <si>
    <t>RB INFORMATICA LTDA</t>
  </si>
  <si>
    <t>XXX500340001XX</t>
  </si>
  <si>
    <t>MANUTENCAO/SUPORTE A SISTEMAS E WEBSITE</t>
  </si>
  <si>
    <t>SANKHYA GESTAO DE NEGOCIOS</t>
  </si>
  <si>
    <t>XXX140620001XX</t>
  </si>
  <si>
    <t>Serviços de Limpeza e Conservação</t>
  </si>
  <si>
    <t>Fornecimento de profissionais para os serviços de portaria, recepção, limpeza e conservação patrimonial nas dependências e instalações da Sala Minas Gerais, bem como de todos os materiais necessários à execução do serviço.</t>
  </si>
  <si>
    <t>PRIMER INTELIGENCIA EM SERVICOS LTDA - ME</t>
  </si>
  <si>
    <t>XXX981830001XX</t>
  </si>
  <si>
    <t xml:space="preserve">Serviço  vigilante Sala MG </t>
  </si>
  <si>
    <t>TUTORI SEGURANCA ARMADA E VIGILANCIA EIRELI</t>
  </si>
  <si>
    <t>XXX759440001XX</t>
  </si>
  <si>
    <t>Serviço de gerenciamento de bilheteria e controle de acesso para a Temporada (gestão online e bilheteria física).</t>
  </si>
  <si>
    <t>IT.ART TECNOLOGIA LTDA</t>
  </si>
  <si>
    <t>XXX232120001XX</t>
  </si>
  <si>
    <t xml:space="preserve">Serviços de recepcionistas mês </t>
  </si>
  <si>
    <t>APS SERVICOS LTDA</t>
  </si>
  <si>
    <t>XXX152670001XX</t>
  </si>
  <si>
    <t>Serviço de manutenção preventiva/corretiva dos 10 elevadores do predio da Sala Minas Gerais.</t>
  </si>
  <si>
    <t>ELEVADORES OTIS LTDA</t>
  </si>
  <si>
    <t>XXX397370005XX</t>
  </si>
  <si>
    <t>Adiantamento referente a renovação mensal do servidor para hospedagem do backup do site antigo da Orquestra Filarmonica de Minas Gerais.Parceiro(5254)Hostgator.</t>
  </si>
  <si>
    <t>TRANSFERÊNCIA BANCÁRIA</t>
  </si>
  <si>
    <t xml:space="preserve">Rendimento aplicação financeira janeiro/2026.                                                                                                                                                                                                                </t>
  </si>
  <si>
    <t>Transferência de Rendimento de Aplicação Financeira</t>
  </si>
  <si>
    <t>CRÉDITO EM CONTA</t>
  </si>
  <si>
    <t>P2590</t>
  </si>
  <si>
    <t>P2591</t>
  </si>
  <si>
    <t>P2592</t>
  </si>
  <si>
    <t>P2593</t>
  </si>
  <si>
    <t>P2594</t>
  </si>
  <si>
    <t>P2595</t>
  </si>
  <si>
    <t>P2596</t>
  </si>
  <si>
    <t>P2597</t>
  </si>
  <si>
    <t>P2598</t>
  </si>
  <si>
    <t>P2599</t>
  </si>
  <si>
    <t>P2600</t>
  </si>
  <si>
    <t>P2601</t>
  </si>
  <si>
    <t>P2602</t>
  </si>
  <si>
    <t>P2603</t>
  </si>
  <si>
    <t>P2604</t>
  </si>
  <si>
    <t>P2605</t>
  </si>
  <si>
    <t>P2606</t>
  </si>
  <si>
    <t>P2607</t>
  </si>
  <si>
    <t>P2608</t>
  </si>
  <si>
    <t>P2609</t>
  </si>
  <si>
    <t>P2610</t>
  </si>
  <si>
    <t>P2611</t>
  </si>
  <si>
    <t>P2612</t>
  </si>
  <si>
    <t>P2613</t>
  </si>
  <si>
    <t>P2614</t>
  </si>
  <si>
    <t>P2615</t>
  </si>
  <si>
    <t>P2616</t>
  </si>
  <si>
    <t>P2617</t>
  </si>
  <si>
    <t>P2618</t>
  </si>
  <si>
    <t>P2619</t>
  </si>
  <si>
    <t>AP0723</t>
  </si>
  <si>
    <t>AP0724</t>
  </si>
  <si>
    <t>AP0725</t>
  </si>
  <si>
    <t>AP0730</t>
  </si>
  <si>
    <t>AP0726</t>
  </si>
  <si>
    <t>AP0722</t>
  </si>
  <si>
    <t>AP0727</t>
  </si>
  <si>
    <t>AP0728</t>
  </si>
  <si>
    <t>AP0729</t>
  </si>
  <si>
    <t>AP0731</t>
  </si>
  <si>
    <t>AP0732</t>
  </si>
  <si>
    <t>AP0733</t>
  </si>
  <si>
    <t>AP0734</t>
  </si>
  <si>
    <t>BANQUETAS EM MADEIRA COM BRAÇO</t>
  </si>
  <si>
    <t>MESA BISTRO TAMPO EM MDF 60 CM DIAMETRO BASE METAL</t>
  </si>
  <si>
    <t>MESA AGATA 1000X780X520</t>
  </si>
  <si>
    <t>Lara - Granada</t>
  </si>
  <si>
    <t>Anderson - Fiddle-Faddle</t>
  </si>
  <si>
    <t>Shore - O Senhor dos Aneis</t>
  </si>
  <si>
    <t xml:space="preserve"> Pergolesi - Suíte para 2 oboés e corne inglês (Câmara II - 26 de maio)</t>
  </si>
  <si>
    <t>Badelt - Os Piratas do Caribe</t>
  </si>
  <si>
    <t>Silvestri - Forest Gump</t>
  </si>
  <si>
    <t>Milton Nascimento - A lua girou</t>
  </si>
  <si>
    <t>Milton Nascimento - Casamento de Negros</t>
  </si>
  <si>
    <t>Milton Nascimento - Volver a los 17</t>
  </si>
  <si>
    <t>Moss - Titanic [Especial 3 - 4 de abril]</t>
  </si>
  <si>
    <t>Weber/Belioz - Convite à valsa [Allegro III e Vivace III - 7 e 8 de maio]</t>
  </si>
  <si>
    <t>Mendelssohn - Mar calmo e próspera viagem.</t>
  </si>
  <si>
    <t>Verdi - Requiem</t>
  </si>
  <si>
    <t>F2 COMÉRCIO LTDA</t>
  </si>
  <si>
    <t>FORMESPACO MOVEIS E INSTALACOES LTDA. - EPP</t>
  </si>
  <si>
    <t>FILARMONIKA MUSIC PUBLISHING</t>
  </si>
  <si>
    <t>ALFRED MUSIC</t>
  </si>
  <si>
    <t>MUSIMED EDICOES MUSICAIS IMPORTACAO E EXPORTACAO LTDA</t>
  </si>
  <si>
    <t>SHEET MUSIC DIRECT</t>
  </si>
  <si>
    <t>SHEET MUSIC PLUS</t>
  </si>
  <si>
    <t>RODRIGO CALVO MORTE</t>
  </si>
  <si>
    <t>FOYER - CAFETERIA</t>
  </si>
  <si>
    <t>SALA MONTADORES</t>
  </si>
  <si>
    <t>ARQUIVO</t>
  </si>
  <si>
    <t>Incorporação da mobília adquirida pela empresa F2 Comercio ao patrimônio do Instituto. Móveis usados no Café.</t>
  </si>
  <si>
    <t>Compra de partituras para o concerto Câmara II (26 de maio). Obra: Pergolesi - Suíte para 2 oboés e corne inglês. Grupo: Maria Fernanda Gonçalvez, Israel Muniz e Nicolas Nemitz.</t>
  </si>
  <si>
    <t>Compra de partituras para o Especial 1 (4 de abril). Obra: Moss - Titanic. Regente: José Soares.</t>
  </si>
  <si>
    <t xml:space="preserve">Folha                                                                                                                                                                                                                                        </t>
  </si>
  <si>
    <t xml:space="preserve">FGTS folha                                                                                                                                                                                                                                 </t>
  </si>
  <si>
    <t xml:space="preserve">Pensao folha                                                                                                                                                                                                                                      </t>
  </si>
  <si>
    <t>Pensão alimentícia</t>
  </si>
  <si>
    <t xml:space="preserve">Associação dos músicos Folha                                                                                                                                                                                                               </t>
  </si>
  <si>
    <t>Mensalidade de medicina e segurança do trabalho (PPRA,PCMSO). Competência: Março/2026</t>
  </si>
  <si>
    <t xml:space="preserve">Prêmio do seguro de vida para os funcionários do Instituto. </t>
  </si>
  <si>
    <t xml:space="preserve">PIS retido em guia unificada sobre folha                                                                                                                                                                                     </t>
  </si>
  <si>
    <t xml:space="preserve">INSS UNIFICADO . Retido dos trabalhadores.                                                                                                                                                                                                                                  </t>
  </si>
  <si>
    <t xml:space="preserve">INSS UNIFICADO .                                                                                                                                                                                                                                        </t>
  </si>
  <si>
    <t xml:space="preserve">Mensalidade de assessoria administrativa-financeira para a gestão dos projetos aprovados nos mecanismos de incentivo fiscal para a manutenção e realização da Temporada 2023 da Orquestra Filarmônica de Minas Gerais. </t>
  </si>
  <si>
    <t xml:space="preserve">Mensalidade contratual para o serviço de suporte em TI. </t>
  </si>
  <si>
    <t xml:space="preserve">Mensalidade referente a licença de uso do sistema de gestão Sankhya-W e Licença de Uso da plataforma "Universidade Sankhya" (sistema Sankhya OM - Sistema de Gestão Empresarial Sankhya OM - Versão 4.12 na modalidade Evo (Software as a Service) com acesso exclusivamente via Web; e Serviços Pós Implantação. </t>
  </si>
  <si>
    <t xml:space="preserve">Bolsa academia </t>
  </si>
  <si>
    <t>Wilson Nelio Brumer</t>
  </si>
  <si>
    <t>Belo Horizonte, 09 de julho de 2026.</t>
  </si>
  <si>
    <t>01/04/2026</t>
  </si>
  <si>
    <t>02/04/2026</t>
  </si>
  <si>
    <t>06/04/2026</t>
  </si>
  <si>
    <t>07/04/2026</t>
  </si>
  <si>
    <t>08/04/2026</t>
  </si>
  <si>
    <t>09/04/2026</t>
  </si>
  <si>
    <t>10/04/2026</t>
  </si>
  <si>
    <t>13/04/2026</t>
  </si>
  <si>
    <t>14/04/2026</t>
  </si>
  <si>
    <t>15/04/2026</t>
  </si>
  <si>
    <t>16/04/2026</t>
  </si>
  <si>
    <t>17/04/2026</t>
  </si>
  <si>
    <t>20/04/2026</t>
  </si>
  <si>
    <t>22/04/2026</t>
  </si>
  <si>
    <t>23/04/2026</t>
  </si>
  <si>
    <t>24/04/2026</t>
  </si>
  <si>
    <t>27/04/2026</t>
  </si>
  <si>
    <t>28/04/2026</t>
  </si>
  <si>
    <t>30/04/2026</t>
  </si>
  <si>
    <t>30/03/2026</t>
  </si>
  <si>
    <t>25/03/2026</t>
  </si>
  <si>
    <t>27/03/2026</t>
  </si>
  <si>
    <t>08/03/2026</t>
  </si>
  <si>
    <t>03/04/2026</t>
  </si>
  <si>
    <t>15/03/2026</t>
  </si>
  <si>
    <t>05/04/2026</t>
  </si>
  <si>
    <t>22/03/2026</t>
  </si>
  <si>
    <t>28/03/2026</t>
  </si>
  <si>
    <t>01/04/2025</t>
  </si>
  <si>
    <t>04/05/2026</t>
  </si>
  <si>
    <t>25/04/2026</t>
  </si>
  <si>
    <t>43283811001202</t>
  </si>
  <si>
    <t xml:space="preserve">SAMBOU PRODUCOES ARTISTICAS LTDA                            </t>
  </si>
  <si>
    <t>07921659000120</t>
  </si>
  <si>
    <t xml:space="preserve">HANNA MUSSI DIAS                                            </t>
  </si>
  <si>
    <t>54656367000197</t>
  </si>
  <si>
    <t xml:space="preserve">LUCAS DAVI DE ARAUJO 3750782156                             </t>
  </si>
  <si>
    <t>59639324000117</t>
  </si>
  <si>
    <t xml:space="preserve">GIZELE BORTOLINI SGUIZZATO                                  </t>
  </si>
  <si>
    <t xml:space="preserve">03884251643   </t>
  </si>
  <si>
    <t xml:space="preserve">PROYATE LTDA                                                </t>
  </si>
  <si>
    <t>21481032000126</t>
  </si>
  <si>
    <t xml:space="preserve">VALENTINA GOSTILOVITCH                                      </t>
  </si>
  <si>
    <t xml:space="preserve">51218054204   </t>
  </si>
  <si>
    <t xml:space="preserve">TATIANE SAUDE MOTTA 744.057.726-49                          </t>
  </si>
  <si>
    <t>49687540000184</t>
  </si>
  <si>
    <t xml:space="preserve">MURILLO CORREA E CIA                                        </t>
  </si>
  <si>
    <t>00099221000169</t>
  </si>
  <si>
    <t xml:space="preserve">BRIGADA ESMERALDAS LTDA                                     </t>
  </si>
  <si>
    <t>50313696000184</t>
  </si>
  <si>
    <t xml:space="preserve">MUSIMED EDICOES MUSICAIS IMPORTACAO E EXPORTACAO LTDA       </t>
  </si>
  <si>
    <t>37146172000188</t>
  </si>
  <si>
    <t xml:space="preserve">SINDICATO DOS MUSICOS PROFISSIONAIS DE MG                   </t>
  </si>
  <si>
    <t>17448333000180</t>
  </si>
  <si>
    <t xml:space="preserve">PIPEDRIVE OU                                                </t>
  </si>
  <si>
    <t xml:space="preserve">BOOSEY &amp; HAWKES INC./HENDON MUSIC INC.                      </t>
  </si>
  <si>
    <t xml:space="preserve">JOTFORM INC.                                                </t>
  </si>
  <si>
    <t>UNIVERSAL MUSIC PUBLISHING EDITIO MUSICA BUDAPEST ZENEMÍÍKIA</t>
  </si>
  <si>
    <t xml:space="preserve">VALERIA EVALLIN DA COSTA PRATA                              </t>
  </si>
  <si>
    <t xml:space="preserve">13491144647   </t>
  </si>
  <si>
    <t xml:space="preserve">ARA HARUTYUNYAN                                             </t>
  </si>
  <si>
    <t xml:space="preserve">02309975621   </t>
  </si>
  <si>
    <t xml:space="preserve">MAJOR ORCHESTRA LIBRARIANS' ASSOCIATION, INC.               </t>
  </si>
  <si>
    <t xml:space="preserve">PEDRO MENEZES GATTONI                                       </t>
  </si>
  <si>
    <t xml:space="preserve">00390456683   </t>
  </si>
  <si>
    <t xml:space="preserve">RMOTTA PRODUCOES FOTOGRAFICAS                               </t>
  </si>
  <si>
    <t>09454305000148</t>
  </si>
  <si>
    <t xml:space="preserve">MAPA ART DECOR COMERCIO LTDA                                </t>
  </si>
  <si>
    <t>51577673000140</t>
  </si>
  <si>
    <t xml:space="preserve">DANIEL FERNANDES MENDES JUNIOR                              </t>
  </si>
  <si>
    <t xml:space="preserve">36627260840   </t>
  </si>
  <si>
    <t xml:space="preserve">KERSON LUCIO DE FREITAS DOS SANTOS                          </t>
  </si>
  <si>
    <t>58545066000147</t>
  </si>
  <si>
    <t xml:space="preserve">ALINE PEREIRA RIBEIRO VIEIRA                                </t>
  </si>
  <si>
    <t xml:space="preserve">04176382724   </t>
  </si>
  <si>
    <t xml:space="preserve">ANA CLARA OLIVEIRA RODRIGUES                                </t>
  </si>
  <si>
    <t xml:space="preserve">15757805692   </t>
  </si>
  <si>
    <t xml:space="preserve">ANA PAULA SABINA DO CARMO                                   </t>
  </si>
  <si>
    <t xml:space="preserve">07890287607   </t>
  </si>
  <si>
    <t xml:space="preserve">EMILLY ANNE DA SILVA                                        </t>
  </si>
  <si>
    <t xml:space="preserve">11814277625   </t>
  </si>
  <si>
    <t xml:space="preserve">EVERTON ALVES SILVA                                         </t>
  </si>
  <si>
    <t xml:space="preserve">08106520641   </t>
  </si>
  <si>
    <t xml:space="preserve">GUILHERME AZEVEDO ASSIS                                     </t>
  </si>
  <si>
    <t xml:space="preserve">02188417607   </t>
  </si>
  <si>
    <t xml:space="preserve">IGOR AGUILAR DE ARAUJO                                      </t>
  </si>
  <si>
    <t xml:space="preserve">12767243651   </t>
  </si>
  <si>
    <t xml:space="preserve">JOYCE GABRIELLY DOS SANTOS                                  </t>
  </si>
  <si>
    <t xml:space="preserve">11791712681   </t>
  </si>
  <si>
    <t xml:space="preserve">KAMILA KELEN VIEIRA LEITE GONÇALVES                         </t>
  </si>
  <si>
    <t xml:space="preserve">17076618630   </t>
  </si>
  <si>
    <t xml:space="preserve">KAREN LUIZA RODRIGUES MOREIRA                               </t>
  </si>
  <si>
    <t xml:space="preserve">16910316665   </t>
  </si>
  <si>
    <t xml:space="preserve">MARLON HENRIQUE MELO DOS SANTOS                             </t>
  </si>
  <si>
    <t xml:space="preserve">10290955661   </t>
  </si>
  <si>
    <t xml:space="preserve">RAFAEL GONCALVES MACIEL                                     </t>
  </si>
  <si>
    <t xml:space="preserve">08066650680   </t>
  </si>
  <si>
    <t xml:space="preserve">REBECA LUCIANE RODRIGUES TOLEDO                             </t>
  </si>
  <si>
    <t xml:space="preserve">70383878632   </t>
  </si>
  <si>
    <t xml:space="preserve">WESLLAYNE DE ALMEIDA VIEIRA                                 </t>
  </si>
  <si>
    <t xml:space="preserve">14490354770   </t>
  </si>
  <si>
    <t xml:space="preserve">YURE DE PAULA GONÇALVES BORGES CRISTO                       </t>
  </si>
  <si>
    <t xml:space="preserve">10806030690   </t>
  </si>
  <si>
    <t xml:space="preserve">DISTRIBUIDORA TRIANGULO LTDA                                </t>
  </si>
  <si>
    <t>17498163000149</t>
  </si>
  <si>
    <t xml:space="preserve">GUSTAVO GARCIA TRINDADE                                     </t>
  </si>
  <si>
    <t xml:space="preserve">04102257624   </t>
  </si>
  <si>
    <t xml:space="preserve">RODRIGO DE OLIVEIRA CASTRO                                  </t>
  </si>
  <si>
    <t xml:space="preserve">04821627671   </t>
  </si>
  <si>
    <t xml:space="preserve">ANTHONY TRIONFO                                             </t>
  </si>
  <si>
    <t xml:space="preserve">VINCENTIUS CYPRIANUS DE KORT                                </t>
  </si>
  <si>
    <t>17155342000426</t>
  </si>
  <si>
    <t xml:space="preserve">A SERENATA LTDA                                             </t>
  </si>
  <si>
    <t>17220054000165</t>
  </si>
  <si>
    <t xml:space="preserve">CULTURA E EVENTOS CREMONA LTDA                              </t>
  </si>
  <si>
    <t>55045528000179</t>
  </si>
  <si>
    <t xml:space="preserve">LAURA CARDOSO MORETZSOHN 37.141.823/0001-47                 </t>
  </si>
  <si>
    <t xml:space="preserve">11848223609   </t>
  </si>
  <si>
    <t xml:space="preserve">RADMILA BOCEV                                               </t>
  </si>
  <si>
    <t xml:space="preserve">01755904606   </t>
  </si>
  <si>
    <t xml:space="preserve">GABRIEL FELIPE ALVES                                        </t>
  </si>
  <si>
    <t xml:space="preserve">02007701600   </t>
  </si>
  <si>
    <t xml:space="preserve">WILLIAM GOMES PEREIRA 09627583618                           </t>
  </si>
  <si>
    <t>45028075000119</t>
  </si>
  <si>
    <t xml:space="preserve">A&amp;E TECNICAL LTDA                                           </t>
  </si>
  <si>
    <t>42878314000131</t>
  </si>
  <si>
    <t>43283811012328</t>
  </si>
  <si>
    <t xml:space="preserve">ANDRE TOURINHO RIBEIRO SOCIEDADE INDIVIDUAL DE ADVOCACIA    </t>
  </si>
  <si>
    <t>62589947000137</t>
  </si>
  <si>
    <t xml:space="preserve">NACIONAL DISTRIBUIDORA E PAPELARIA EIRELI                   </t>
  </si>
  <si>
    <t>20661513000150</t>
  </si>
  <si>
    <t xml:space="preserve">ELIZABETH ROSE FAYETTE                                      </t>
  </si>
  <si>
    <t xml:space="preserve">07559658172   </t>
  </si>
  <si>
    <t xml:space="preserve">TRIBUNAL REGIONAL DO TRABALHO DA 3 REGIAO                   </t>
  </si>
  <si>
    <t>01298583000141</t>
  </si>
  <si>
    <t xml:space="preserve">FUNDACAO OSESP                                              </t>
  </si>
  <si>
    <t>07495643000100</t>
  </si>
  <si>
    <t xml:space="preserve">ABRA VIDEOS BRASIL LTDA                                     </t>
  </si>
  <si>
    <t>39410621000189</t>
  </si>
  <si>
    <t xml:space="preserve">ACADEMIA BRASILEIRA DE MUSICA                               </t>
  </si>
  <si>
    <t>29509130000136</t>
  </si>
  <si>
    <t xml:space="preserve">JOVANA TRIFUNOVIC                                           </t>
  </si>
  <si>
    <t xml:space="preserve">01755954611   </t>
  </si>
  <si>
    <t xml:space="preserve">RITMIZA PRODUCOES LTDA                                      </t>
  </si>
  <si>
    <t>21702018000105</t>
  </si>
  <si>
    <t xml:space="preserve">DOLABELLA ADVOCACIA E </t>
  </si>
  <si>
    <t xml:space="preserve">PREFEITURA MUNICIPAL DE BELO HORIZONTE (ALVARÁ)             </t>
  </si>
  <si>
    <t xml:space="preserve">DAYANE MARCONDES PAVANI                                     </t>
  </si>
  <si>
    <t xml:space="preserve">12177256607   </t>
  </si>
  <si>
    <t xml:space="preserve">FELIPE OLIVEIRA BARBOSA                                     </t>
  </si>
  <si>
    <t xml:space="preserve">07840162673   </t>
  </si>
  <si>
    <t xml:space="preserve">OUT WAY PRODUCOES EIRELI                                    </t>
  </si>
  <si>
    <t>07782192000184</t>
  </si>
  <si>
    <t xml:space="preserve">ATOVARIADO PRODUCOES CULTURAIS LTDA                         </t>
  </si>
  <si>
    <t>13101997000118</t>
  </si>
  <si>
    <t xml:space="preserve">HYU-KYUNG JUNG                                              </t>
  </si>
  <si>
    <t xml:space="preserve">02003611630   </t>
  </si>
  <si>
    <t xml:space="preserve">TAIS MARIA DE MOURA GOMES                                   </t>
  </si>
  <si>
    <t xml:space="preserve">00191865176   </t>
  </si>
  <si>
    <t xml:space="preserve">ALUA LITERAT ILUST, ATELIE, OFICINA DE ARTE E CULTURA LTDA  </t>
  </si>
  <si>
    <t>21048387000126</t>
  </si>
  <si>
    <t xml:space="preserve">HORIZZONTE PRODUCAO E EVENTOS LTDA                          </t>
  </si>
  <si>
    <t>50856002000155</t>
  </si>
  <si>
    <t xml:space="preserve">ADRIANA ANTUNES CUNHA DE SOUZA                              </t>
  </si>
  <si>
    <t>21499331000198</t>
  </si>
  <si>
    <t>CAPTAÇÃO DE VÍDEO</t>
  </si>
  <si>
    <t>DESPESAS SINDICAIS</t>
  </si>
  <si>
    <t>IOF - MANUTENÇÃO  - RPS</t>
  </si>
  <si>
    <t>DARF - OUTROS</t>
  </si>
  <si>
    <t>IR - OUTRAS DES. PRODUC  - RPS</t>
  </si>
  <si>
    <t>DARF IR 0561 FOPAG</t>
  </si>
  <si>
    <t>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Fevereiro/2026</t>
  </si>
  <si>
    <t>Compra de frutas para atender ao camarim no Concerto Especial Musica de Cinema no dia 01/04/2026. SUPER VAREJAO CARACA LTDA. CNPJ:26.068.130/0003-11.</t>
  </si>
  <si>
    <t xml:space="preserve">FGTS rescisão músico ARA                                                                                                                                                                                                                                       </t>
  </si>
  <si>
    <t xml:space="preserve">Repasse doações incentivadas recebida na conta captação (58132-1) em 22/01/2026 repasse de R$ 600. Doação de SERGIO PEREIRA.                                                                                                                                   </t>
  </si>
  <si>
    <t xml:space="preserve">Repasse doações incentivadas recebida na conta captação (58132-1) em 23/02/2026 repasse de R$ 600. Doação de SERGIO PEREIRA.                                                                                                                                   </t>
  </si>
  <si>
    <t xml:space="preserve">Repasse referente a rendimento de aplicação financeira da conta de captação do PA 24/25 58132-1. Repasse de R$ 122.780,45
                                                                                                                                     </t>
  </si>
  <si>
    <t>Plano corporativo Business Standard de emails e serviços Google. Competência: Fevereiro/2026.</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</si>
  <si>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Março/2026</t>
  </si>
  <si>
    <t>Renovação do serviço de envio automático/seriado de e-mails para o banco de contatos da Filarmônica. Competência: março/2026</t>
  </si>
  <si>
    <t>Compra de suporte de televisão, 2 kits de teclados e mouses  sem fio, adaptador bluetooth, webcam, telefone sem fio e cabo HDMI 10 metros com as especificações necessárias para o uso em computador nas salas de reuniões.</t>
  </si>
  <si>
    <t>Serviços de vigilância externa atraves de câmeras de monitoramento. Competência: Março/2026.</t>
  </si>
  <si>
    <t>Emcomenda de arranjo para o Especial 2 (30 de abril e 01 de maio). Arranjador: Tiago Costa. Obras: Milton Nascimento - Credo e Maria Maria. Regente: José Soares.</t>
  </si>
  <si>
    <t>Contratação do serviço de direção de imagens para 16 concertos da orquestra Filarmônica de Minas Gerais, com transmissão ao vivo, durante a temporada 2026. Ref: Juventude 1</t>
  </si>
  <si>
    <t>Contratação do percussionista Lucas Davi de Araujo para atuação junto à Orquestra, a título de complementação de posição necessária ao repertório do concerto Juventude 1 no dia 22/03/2026 na Sala Minas Gerais.</t>
  </si>
  <si>
    <t>Desenvolvimento do parecer socioeconômico, após avaliação da documentação enviada pelo bolsista Valeria Prata.</t>
  </si>
  <si>
    <t>Serviço de deslocamento urbano por aplicativo (Uber). Competência: fevereiro/2026</t>
  </si>
  <si>
    <t>Contratação de Leonardo Caire, músico de notória qualidade musical, para participação como percussionista junto à Orquestra Filarmônica de MG, a título de complementação de posições necessárias ao repertório nos concertos Allegro/Vivace 1, a serem realizados nos dias 12 e 13 de março de 2026, na sala Minas Gerais.</t>
  </si>
  <si>
    <t>Serviço de afinação dos pianos da Orquestra Filarmonica de MG durante o primeiro semestre de 2026.</t>
  </si>
  <si>
    <t>Passagens aéreas para o violinista Pablo de León, spalla convidado para os concertos Fora de Série 3, no dia 30/05/2026, às 18h, Allegro e Vivace 4, nos dias 11 e 12/06/2026, às 20h30 e Allegro e Vivace 5, nos dias 09 e 10/07/2026, às 20h30, na Sala Minas Gerais.</t>
  </si>
  <si>
    <t>Passagens aéreas para a cantora Monica Salmaso, solista convidada para os concertos Especial 2, nos dias 30/04, 01/05 e 02/05/2026, às 20h30, na Sala Minas Gerais.</t>
  </si>
  <si>
    <t>Cobertura fotográfica de 6 concertos da Temporada 2026 da Orquestra Filarmônica de Minas Gerais. Ref: Juventude 1</t>
  </si>
  <si>
    <t>Captação de áudio para 16 transmissões ao vivo de concertos da Temporada 2026 da Orquestra Filarmônica de Minas Gerais. Ref: Juventude 1</t>
  </si>
  <si>
    <t>Pedido complementar ao pedido Nº 69564 . do contrato de licença para firewall e  monitoramento dos servidores e rede do Instituto Cultural Filarmônica.</t>
  </si>
  <si>
    <t>Serviço de manutenção preventiva/corretiva dos 10 elevadores do predio da Sala Minas Gerais. Competência: Fevereiro/2026.</t>
  </si>
  <si>
    <t>Contratação de Brigadistas para atender o licenciamento exigidos pelo Corpo de Bombeiros para acompanhamento dos Concertos da Orquestra Filarmônica, na Sala Minas Gerais em Praças da RMBH e Turne Estadual. para  Temporada 2026.</t>
  </si>
  <si>
    <t>Prestação mensal referente à contratação do regente associado José Soares. Competência: Março/2026</t>
  </si>
  <si>
    <t>Prestação mensal referente a serviços de regente titular e Direção Artistica da Orquestra Filarmônica de Minas Gerais pelo Maestro Fábio Mechetti. Competência: março/2026</t>
  </si>
  <si>
    <t>Receita bruta da bilheteria do concerto VELOCE II, realizado no dia 27/03 na Sala Minas Gerais.</t>
  </si>
  <si>
    <t>Receita bruta da bilheteria do concerto PRESTO 2 realizado no dia 26/03/2026 na Sala Minas Gerais.</t>
  </si>
  <si>
    <t xml:space="preserve">Pagamento folha 03/2026.                                                                                                                                                                                                                                       </t>
  </si>
  <si>
    <t xml:space="preserve">Pagamento  estagiaria folha 03/2026.                                                                                                                                                                                                                           </t>
  </si>
  <si>
    <t>Compra de refrigerantes para atender ao camarim no Concerto Especial Musica de Cinema no dia 02/04/2026. DMA DISTRIBUIDORA SA. CNPJ:01.928.075/0016-86.</t>
  </si>
  <si>
    <t xml:space="preserve">Pensao folha Março/2026.                                                                                                                                                                                                                                       </t>
  </si>
  <si>
    <t xml:space="preserve">Associação dos músicos Folha 03/2026.                                                                                                                                                                                                                          </t>
  </si>
  <si>
    <t xml:space="preserve">Contribuicao sindical dos músicos folha 04/2026                                                                                                                                                                                                                </t>
  </si>
  <si>
    <t xml:space="preserve">FGTS emprestimo consignado folha 03/2026                                                                                                                                                                                                                       </t>
  </si>
  <si>
    <t xml:space="preserve">FGTS folha 03/2026                                                                                                                                                                                                                                             </t>
  </si>
  <si>
    <t>Valor referente a bolsa de estudo, concedida pelo ICF ao candidato aprovado em edital a Academia Filarmônica. Competência: Março/2026</t>
  </si>
  <si>
    <t>Valor referente a participação na Academia Filarmônica. Competência: Março/2026</t>
  </si>
  <si>
    <t xml:space="preserve">Estorno de doação transferida em duplicidade para a conta do Projeto: Orquestra Filarmônica de Minas Gerais | Plano Bianual 2024/2025 PRONAC: 235944 em 12/12/2024.                                                                                            </t>
  </si>
  <si>
    <t xml:space="preserve">Estorno de doação realizada de forma incorreta para a conta do Projeto: Orquestra Filarmônica de Minas Gerais | Plano Bianual 2024/2025 PRONAC: 235944 em 20/12/2024.                                                                                          </t>
  </si>
  <si>
    <t>Contratação de um serviço de CRM (Gestão de Relacionamento com o Cliente) para a organização, gestão, relacionamento e prospecção de patrocinadores, pelo período de um ano.</t>
  </si>
  <si>
    <t>Renovação da assinatura anual da plataforma de criação e gestão de formulários JotForm, categoria Prata, para o período 2026/2027.</t>
  </si>
  <si>
    <t>Contratação de impulsionamento de conteúdo no Facebook a fim de aumentar o alcance das publicações do perfil da Orquestra Filarmônica de Minas Gerais em 2026 entre os meses de março e dezembro.</t>
  </si>
  <si>
    <t>Aluguel de partituras para o concerto Fora de Série IV (4 de julho). Obra: Liszt - São Francisco de Paula sobre as ondas. Regente: Fabio Mechetti.</t>
  </si>
  <si>
    <t>Valor referente a concessão de bolsa de aprendizado pelo ICF ao Bolsista, na condição de aluno da Academia Filarmônica. Competência: março/2026.</t>
  </si>
  <si>
    <t>Mensalidade de medicina e segurança do trabalho (PCMSO). Competência: Fevereiro</t>
  </si>
  <si>
    <t>Mensalidade de medicina e segurança do trabalho (PPRA). Competência: Fevereiro</t>
  </si>
  <si>
    <t xml:space="preserve">Rescisao ARA HARUTYUNYAN                                                                                                                                                                                                                                       </t>
  </si>
  <si>
    <t xml:space="preserve">Adiantamento referente a compra de duas caixas de tomada para embutir nas mesas dos salas de reuniões do 2º andar.Parceiro(5378)Caixa tomada (2385)Mercadopago.                                                                                                </t>
  </si>
  <si>
    <t xml:space="preserve">Adiantamento referente ao benefício de alimentação da funcionária Erika Ziller gerente de produção.Parceiro (14)Alelo.                                                                                                                                         </t>
  </si>
  <si>
    <t>Taxa de inscrição para a 44a Conferência da MOLA, que acontecerá entre os dias 19 e 22 de junho de 2026 em Sydney, Austrália.</t>
  </si>
  <si>
    <t>Taxa anual de associação à MOLA - Major Orchestra Librarians' Association (Associação de Arquivistas de Grandes Orquestras). Anuidade 2026.</t>
  </si>
  <si>
    <t xml:space="preserve">Devolução do repasse de doações incentivadas de SERGIO PEREIRA, pois conta não está mais em uso.                                                                                                                                                               </t>
  </si>
  <si>
    <t xml:space="preserve">DEVOLUCAO DE RECURSO CONTA INATIVA LF BIANUAL 24/25 CONTA 58134-8 - GUIA anexo.                                                                                                                                                                                </t>
  </si>
  <si>
    <t xml:space="preserve">Repasse SEC - Referente ao contrato de Gestão 04/2026.                                                                                                                                                                                                         </t>
  </si>
  <si>
    <t>Compra de material de copa - 60 unidades de leite; 4 pacotes de açúcar cristal de 5 kg; 23 unidades de manteiga; 10 pacotes de café extraforte; 1 caixa de mexedor de café 85 mm; 8 unidades de detergente.</t>
  </si>
  <si>
    <t>Impressão de 1.000 unidades de cartão de visita do Diretor Presidente do ICF, Wilson Brumer.</t>
  </si>
  <si>
    <t>Confecção de apostilas para a disciplina de Percepção Musical V da Academia Filarmônica</t>
  </si>
  <si>
    <t>Confecção de 50 unidades do Book publicitário dos projetos da Orquestra Filarmônica de minas Gerais, com a finalidade de ser um instrumento para a captação de novos patrocínios, apoiadores e parceiros.</t>
  </si>
  <si>
    <t>Serviço de lavanderia - Peças diversas da OFMG</t>
  </si>
  <si>
    <t>Plano de saúde corporativo com abrangência nacional. Competência: Abril/2026</t>
  </si>
  <si>
    <t>Serviço de conservação e limpeza. Contrato referente aos meses de Janeiro a Dezembro de 2026. Competência: fevereiro/2026</t>
  </si>
  <si>
    <t>Receita Bruta estacionamento, competência 03/2026.</t>
  </si>
  <si>
    <t xml:space="preserve">Cobrança Realizada a maior pelo cliente e devolvido em conta.                                                                                                                                                                                                  </t>
  </si>
  <si>
    <t xml:space="preserve">Depósito judicial referente ao ISS sobre receita da competência Março/2026
Processo: 50253977120178130024-                                                                                                                                                     </t>
  </si>
  <si>
    <t>Receita locação espaço café, correspondente a 7% da receita bruta total, conforme relatório anexo da competência 03/2026.</t>
  </si>
  <si>
    <t>Taxas referentes a renovação do visto da musicista Valentina Shmyreva.</t>
  </si>
  <si>
    <t>Compra de bateria para atender ao setor de operacoes/infraestrutura. SETOR INFO COMERCIO E INFORMATICA LTDA. CNPJ: 31.674.527/0001-25.</t>
  </si>
  <si>
    <t>Compra de 10 filtros de linha e 20m de organiador de cabo espiral, para equipar e organizar as estações de trabalho da Filarmônica</t>
  </si>
  <si>
    <t>Participação no seminário internacional "Creating Futures: Rethinking Cultural Institutions, Infrastructure, and Investment", promovido pela Salzburg Global, organização internacional sem fins lucrativos que reúne líderes de mais de 170 países para debater temas estratégicos globais. O programa ocorrerá presencialmente em Salzburgo, na Áustria, reunindo cerca de 45 lideranças do setor cultural, incluindo gestores, formuladores de políticas públicas e financiadores, com foco na discussão de novos modelos de governança, financiamento e sustentabilidade das instituições culturais. As passagens aéreas e a hospedagem serão custeadas pelo Salzburg Global. As atividades estão previstas para o período de 12 a 18 de abril de 2026, em Salzburgo, na Áustria. Consideram-se 7 (sete) diárias de alimentação, sendo o valor unitário de EUR 110, conforme RCC, totalizando EUR 770</t>
  </si>
  <si>
    <t>Contratação de serviço de licenciamento de software para registro anônimo de denúncias dos funcionários do Instituto Cultural Filarmônica. Competência: Março/2026.</t>
  </si>
  <si>
    <t>Contratação de transporte executivo para atendimento a solistas e regentes convidados.
Competência: Março/2026</t>
  </si>
  <si>
    <t>Contratação de serviço de 02 carregadores para mudança de sala do setor de produção/operações na Sala Minas Gerais, no dia 18/03/026.</t>
  </si>
  <si>
    <t>Mensalidade contratual para o serviço de suporte em TI. Competência: Março/2026</t>
  </si>
  <si>
    <t>Cobertura fotográfica de 6 concertos da Temporada 2026 da Orquestra Filarmônica de Minas Gerais. Ref: Presto/Veloce 2</t>
  </si>
  <si>
    <t>Passagens aéreas (BH x BSB - BSB x BH) para reunião entre a Diretora de Marketing e Comunicação da Filarmônica, Zilka Caribé, e o assessor técnico e representante da TAAL, Felipe Amado Leite, com o novo Secretário de Fomento à Cultura. A agenda tem como foco estreitar o relacionamento e alinhar os pontos da inscrição do Plano Plurianual (4 anos), que será realizado pela primeira vez.</t>
  </si>
  <si>
    <t>Diária integral de alimentação em viagem para a Diretora de Mkt e Comunicação Zilka Caribé para Brasília-DF (06/04/2026).</t>
  </si>
  <si>
    <t>Serviço de clipagem diária e análise de mídia dos principais veículos impressos (jornais e revistas), digitais, rádios e TVs, com foco na Orquestra Filarmônica de Minas Gerais e no setor cultural. Competência: Abril/2026</t>
  </si>
  <si>
    <t>Compra de biscoitos, cha e frutas para os concertos Allegro e Vivace 2 nos dias 9 e 10/04/2026. SUPER VAREJAO CARACA LTDA. CNPJ:26.068.130/0003-11.</t>
  </si>
  <si>
    <t xml:space="preserve">Repasse doações não incentivadas recebidas através do site Abrace Uma Causa mes 03/2026. Relatório em anexo.                                                                                                                                                   </t>
  </si>
  <si>
    <t>Aluguel de partituras para os concertos Allegro III e Vivace III (7 e 8 de maio). Obra: Tan Dun - 3 musas em videogame. Regente: José Soares.</t>
  </si>
  <si>
    <t xml:space="preserve">Adiantamento referente a compra de 2 pé base para as mesas da sala de reunião e sala de produção.Parceiro(5396)Metal Livre(2385)Mercadopago.                                                                                                                   </t>
  </si>
  <si>
    <t xml:space="preserve">Adiantamento referente a contratação de empresa para remoção de um espelho quebrado e instalação de um novo espelho na área de acesso aos sanitários no 2º Foyer da Sala Minas Gerais.Parceiro (5401)Mapa Art.                                                 </t>
  </si>
  <si>
    <t xml:space="preserve">2 a via de cartao Alelo alimentacao Ana Luzia                                                                                                                                                                                                                  </t>
  </si>
  <si>
    <t xml:space="preserve">2 a via de cartao Alelo refeicao Daniel Fernandes                                                                                                                                                                                                              </t>
  </si>
  <si>
    <t>Receita bruta da bilheteria do concerto CONCERTO ESPECIAL MUSICA DE CINEMA, realizado no dia 01/04/2026 na Sala Minas Gerais.</t>
  </si>
  <si>
    <t>Receita bruta da bilheteria do concerto ESPECIAL MUSICA DE CINEMA, realizado no dia 03/04/2026 na Sala Minas Gerais.</t>
  </si>
  <si>
    <t>Receita bruta da bilheteria do concerto ESPECIAL MUSICA DE CINEMA, realizado no dia 02/04/2026 na Sala Minas Gerais.</t>
  </si>
  <si>
    <t xml:space="preserve">Depósito realizado a maior ref concerto ESPECIAL MUSICA DE CINEMA no dia 02/04/2026 na Sala Minas Gerais. será reembolsado.                                                                                                                                    </t>
  </si>
  <si>
    <t>Contratação do ERP Domínio, Implantação e Treinamento dos módulos Contabilidade, Escrita Fiscal, Atualizar, Patrimônio, Lalur, Folha de Pagamento, Auditoria, Portal do Cliente e Portal do Empregado. 
Número de usuários simultâneos: 5
Competência: março/2026</t>
  </si>
  <si>
    <t>Mensalidade para locação de impressoras e franquia de impressões, na sede administrativa do Instituto Cultural Filarmônica. Competência: Março/2026</t>
  </si>
  <si>
    <t>Contratação do serviço de operação audiovisual para 16 concertos da orquestra Filarmônica de Minas Gerais, com transmissão ao vivo, durante a temporada 2026. Ref: Juventude 1</t>
  </si>
  <si>
    <t>Renovação contratual anual da licença de uso do software de Ponto Eletrônico. Competência: Abril/2026</t>
  </si>
  <si>
    <t>A contratação do ecossistema RD Station (Marketing, CRM e Conversas) tem como finalidade estruturar, integrar e automatizar a comunicação institucional, centralizando em uma única plataforma as ações de marketing, relacionamento, vendas e atendimento. A solução permitirá maior eficiência operacional, organização das informações, rastreabilidade das interações, geração de dados gerenciais e aprimoramento da experiência do público, em alinhamento às necessidades institucionais e às boas práticas de gestão.</t>
  </si>
  <si>
    <t>Mensalidade de internet banda larga de 240MB para a Sala Minas Gerais. Competência: Março/20266</t>
  </si>
  <si>
    <t xml:space="preserve">Doação recebida na conta de RPS -TED LÚCIA G P 10/04.                                                                                                                                                                                                          </t>
  </si>
  <si>
    <t xml:space="preserve">Devolução de valor referente a complementação de despesa decorrente a divergência na base de cálculo do ISSQN aplicada pelo prestador na emissão da NF 703 .                                                                                                   </t>
  </si>
  <si>
    <t>Ajuda de custo para aluna da Universidade Estadual de Minas Gerais que atuará como monitora das atividades ligadas à primeira edição dos Concertos Didáticos de 2026.</t>
  </si>
  <si>
    <t xml:space="preserve">Férias Pedro 04/2026                                                                                                                                                                                                                                           </t>
  </si>
  <si>
    <t>Ajuda de custo para aluna da Universidade Federal de Minas Gerais que atuará como monitora das atividades ligadas à primeira edição dos Concertos Didáticos de 2026.</t>
  </si>
  <si>
    <t>Ajuda de custo para aluno da Universidade Estadual de Minas Gerais que atuará como monitor das atividades ligadas à primeira edição dos Concertos Didáticos de 2026.</t>
  </si>
  <si>
    <t>Ajuda de custo para aluno da Universidade Federal de Minas Gerais que atuará como monitor das atividades ligadas à primeira edição dos Concertos Didáticos de 2026.</t>
  </si>
  <si>
    <t xml:space="preserve">Adiantamento referente a compra de Dobradiças para os armários da sala dos montadores.Parceiro(5402)Duda Comercio(2385)Mercadopago.                                                                                                                            </t>
  </si>
  <si>
    <t>Compra de 03 dispenser para  papel e 10 dispenser para sabão,  para reposição no ICF.</t>
  </si>
  <si>
    <t>Mensalidade de telefonia fixa para a Sala Minas Gerais, sede do Instituto Cultural Filarmônica. Competência: Março/2026</t>
  </si>
  <si>
    <t xml:space="preserve">Rescisao GUSTAVO GARCIA                                                                                                                                                                                                                                        </t>
  </si>
  <si>
    <t xml:space="preserve">Rescisao RODRIGO DE OLIVEIRA                                                                                                                                                                                                                                   </t>
  </si>
  <si>
    <t>Compra de sacos de lixo para atender a demanda do setor de producao. DISTRIBUIDORA E EMBALAGENS CORREA LTDA. CNPJ: 01.156.234/0001-95.</t>
  </si>
  <si>
    <t xml:space="preserve">FGTS rescisão Rodrigo Castro                                                                                                                                                                                                                                   </t>
  </si>
  <si>
    <t xml:space="preserve">FGTS rescisão Gustavo Garcia                                                                                                                                                                                                                                   </t>
  </si>
  <si>
    <t>Compra de cha mate para reposicao da copa. LIDER MINEIRO COM ALIMENTOS LTDA. CNPJ: 07.278.874/0001-54.</t>
  </si>
  <si>
    <t>Compra de sacos de lico par atender a demanda do setor de producao. DISTRIBUIDORA E EMBALAGENS CORREA LTDA. CNPJ: 01.156.234/0001-95.</t>
  </si>
  <si>
    <t>Pagamento de taxa de conferencia/homologação de rescisão contratual de Rodrigo de Oliveira Castro. Sindicato dos Trabalhadores em Entidades Culturais. CNPJ:00.786.960/0001-29</t>
  </si>
  <si>
    <t>Contratação do flautista Anthony Trionfo como solista convidado nos concertos Presto e Veloce 2, nos dias 26 e 27/03/2026, às 20h30, na Sala Minas Gerais.</t>
  </si>
  <si>
    <t>Contratação do maestro Vincent de Kort como regente convidado nos concertos Presto e Veloce 2, nos dias 26 e 27/03/2026, às 20h30, na Sala Minas Gerais.</t>
  </si>
  <si>
    <t>Compra de material para os concertos Especial 1 que acontecerão dos dias 1 a 3 de abril de 2026 na Sala Minas Gerais.</t>
  </si>
  <si>
    <t>Veiculação de spots na rádio CBN BH para divulgação da Temporada 2026. Competência: Março/2026</t>
  </si>
  <si>
    <t xml:space="preserve">Repasse doações incentivadas recebida na conta captação (59904-2) em 09/04/2026. Transferido para a conta movimento em 15/04/2026. Planilha anexa.                                                                                                             </t>
  </si>
  <si>
    <t>Contratação e matrícula de 5 jovens aprendizes em curso de aprendizagem em escola de ensino social profissionalizante. Competência: Março/2026</t>
  </si>
  <si>
    <t>Despesas com serviços de manutenção e reparos referente ao Termo de Uso da Sala Minas Gerais. Competência: Fevereiro/2026</t>
  </si>
  <si>
    <t>Despesas com manutenção do sistema de CFTV referente ao Termo de Uso da Sala Minas Gerais. Competência: Fevereiro/2026</t>
  </si>
  <si>
    <t>Despesas com energia elétrica referente ao Termo de Uso da Sala Minas Gerais. Competência: Fevereiro/2026</t>
  </si>
  <si>
    <t>Despesas com água e esgoto referente ao Termo de Uso da Sala Minas Gerais. Competência: Fevereiro/2026</t>
  </si>
  <si>
    <t>Banco de bateria para OFMG.</t>
  </si>
  <si>
    <t>Mensalidade referente a licença de uso do sistema de gestão Sankhya-W e Licença de Uso da plataforma "Universidade Sankhya" (sistema Sankhya OM - Sistema de Gestão Empresarial Sankhya OM - Competência Abril/2026</t>
  </si>
  <si>
    <t>Contratação do percussionista Lucas Davi de Araujo para atuação junto à Orquestra, a título de complementação de posição necessária ao repertório dos concertos Especial 1 nos dias 01,02 e 03/04/2026 na Sala Minas Gerais.</t>
  </si>
  <si>
    <t>Fornecimento de lanche para o café da manhã do comitê do circuito na Sala Minas Gerais. no dia 31/03/2025.</t>
  </si>
  <si>
    <t>Aluguel de partituras para os concertos Presto V e Veloce V (18 e 19 de junho). Obra: Santoro - Sinfonia n.7. Regente: Fabio Mechetti.</t>
  </si>
  <si>
    <t>Intérprete de Libras para concertos da OFMG Temporada 2026, na Sala Minas Gerais e em Praças da RMBH e Turne Estadual. Ref: Câmara</t>
  </si>
  <si>
    <t>Compra diária de pães para os funcionários do ICF a fim de atender a determinação da convenção coletiva dos funcionários do ICF (Sindec). Competência: Março/2026</t>
  </si>
  <si>
    <t>Passagens aéreas para Carla Assis, agente da cantora Monica Salmaso, que será solista convidada para os concertos Especial 2, nos dias 30/04, 01/05 e 02/05/2026, às 20h30, na Sala Minas Gerais.</t>
  </si>
  <si>
    <t>Contratação de designer freelancer para a produção gráfica das peças de divulgação dos concertos da tamporada 2026. Contrato de 2 meses, de 16/3 a 16/5.</t>
  </si>
  <si>
    <t>Prêmio do seguro de vida para os funcionários do Instituto, no período de 01/05/2025 a 01/05/2026. Competência: março/2026</t>
  </si>
  <si>
    <t>Passagem aérea nacional (São Paulo - Belo Horizonte - São Paulo) para o solista convidado, o trombonista Jorgen van Rijen, para os concertos Allegro e Vivace 3, nos dias 07 e 08 de maio de 2026, às 20h30, na Sala Minas Gerais.</t>
  </si>
  <si>
    <t>Hospedagem para o regente Vincent de Kort, solista convidado dos concertos Presto e Veloce 2, realizados na Sala Minas Gerais nos dias 26 e 27 de março de 2026, às 20h30.</t>
  </si>
  <si>
    <t>Serviço de gerenciamento de bilheteria e controle de acesso para a Temporada 2025 (gestão online e bilheteria física). Competência: Março/2026</t>
  </si>
  <si>
    <t>Cobertura fotográfica de 7 concertos da Temporada 2026 da Orquestra Filarmônica de Minas Gerais. Ref: Especial 1</t>
  </si>
  <si>
    <t>Mensalidade de internet banda larga de 600MB para o Instituto Cultural Filarmônica. Houve a troca de operadora pois a VIVO não estava mais fornecendo o sinal de banda larga. Competência: Março/2026.</t>
  </si>
  <si>
    <t>Receita bruta da bilheteria do concerto ALLEGRO II, realizado no dia 09/04/2026 na Sala Minas Gerais.</t>
  </si>
  <si>
    <t xml:space="preserve">Férias Gabriel 04/2026                                                                                                                                                                                                                                         </t>
  </si>
  <si>
    <t>Receita bruta da bilheteria do concerto VIVACE II, realizado no dia 10/04/2026 na Sala Minas Gerais.</t>
  </si>
  <si>
    <t>Receita bruta da bilheteria do concerto ENSAIO ABERTO ALEGRO II, realizado no dia 10/04/2026 na Sala Minas Gerais.</t>
  </si>
  <si>
    <t>Compra de frutas para atender ao camarim no Concerto Presto 3 no dia 16/04/2026. SUPER VAREJAO CARACA LTDA. CNPJ:26.068.130/0003-11</t>
  </si>
  <si>
    <t>Compra de refrigerantes, sucos e velas para atender a comemoração de aniversariantes do mês. DMA DISTRIBUIDORA SA. CNPJ: 01.928.075/0016-86.</t>
  </si>
  <si>
    <t>Hospedagem para o flautista Anthony Trionfo, solista convidado dos concertos Presto e Veloce 2, nos dias 26 e 27/03/2026, às 20h30, na Sala Minas Gerais.</t>
  </si>
  <si>
    <t xml:space="preserve">INSS UNIFICADO CG 03/2026.                                                                                                                                                                                                                                     </t>
  </si>
  <si>
    <t xml:space="preserve">IR UNIFICADO CG 03/2026.                                                                                                                                                                                                                                       </t>
  </si>
  <si>
    <t xml:space="preserve">PIS retido em guia unificada sobre folha CG 03/2026.                                                                                                                                                                                                           </t>
  </si>
  <si>
    <t xml:space="preserve">PIS COFINS CSLL                                                                                                                                                                                                                                                </t>
  </si>
  <si>
    <t xml:space="preserve">Adiantamento referente a compra de um fone Audio Technica ATHM50x Pro Monitor para as transmissoes.Parceiro(5394)Sandra Mara (2385)Mercadopago.                                                                                                                </t>
  </si>
  <si>
    <t xml:space="preserve">Adiantamento referente a compra de um aparelho celular para demandas do administrativo.Parceiro(5394)Sandra Mara (2385)Mercadopago.                                                                                                                            </t>
  </si>
  <si>
    <t>Mensalidade contratual para o serviço de suporte em TI durante aos concertos com transmissão ao vivo durante o ano de 2026. Ref: Juventude 1</t>
  </si>
  <si>
    <t>Contratação de serviços de fotografia para registro das peças de divulgação para a prestação de contas da Lei Federal de Incentivo à Cultura e para a Lei Estadual de Incentivo à Cultura referente aos concertos realizados na Sala Minas Gerais.</t>
  </si>
  <si>
    <t>Backup em nuvem, para fins de segurança no caso de haver dano físico ou lógico nos servidores locais. Competência: Maio/2026</t>
  </si>
  <si>
    <t>Compra de 5 unidades de fone de ouvido para rádios Motorola UHF EP150, para substituir fones danificados</t>
  </si>
  <si>
    <t>Compra de uma placa de rede Wi-fi/USB para conectar o servidor de automação ao Wi-fi, como rede acesso à internet backup para garantir acesso remoto ao supervisório de automação da Sala Minas Gerais</t>
  </si>
  <si>
    <t>Mensalidade de telefonia móvel e modens móveis para o Instituto Cultural Filarmônica. Competência: março/2026.</t>
  </si>
  <si>
    <t xml:space="preserve">INSS UNIFICADO PA 03/2026.                                                                                                                                                                                                                                     </t>
  </si>
  <si>
    <t xml:space="preserve">IR UNIFICADO PA 03/2026.                                                                                                                                                                                                                                       </t>
  </si>
  <si>
    <t xml:space="preserve">PIS retido em guia unificada sobre folha PA 03/2026.                                                                                                                                                                                                           </t>
  </si>
  <si>
    <t>Compra de chas e refrigerantes para atender ao camarim no Concerto Veloce 3 no dia 17/04/2026. DMA DISTRIBUIDORA SA. CNPJ: 01.928.075/0016-86.</t>
  </si>
  <si>
    <t xml:space="preserve">Depósito judicial referente ao Cofins sobre receita da competência Março/2026.
Processo: 00203084520174013800. ID: 120621000342306146                                                                                                                          </t>
  </si>
  <si>
    <t>Compra de material de escritório: 3 unidades de régua de 30 cm; 4 caixas de papel A4; 4 unidades de corretivo; 5 unidades de borracha; 2 caixas de lápis com 12 unidades; 2 caixas de caneta marca-texto verde; 2 caixas de caneta marca-texto rosa; 1 unidade de Estilete Profissional 18mm com 2 Lâminas Extras; 1 caixa de grampos 9/10-23/10 com 5000 unidades; 1 caixa de grampos 24/6 com 5000 unidades; 1 pacote de 5 rolos de fita adesiva larga para empacotamento - 45mm x 40m; 1 caixa de papel sulfite tamanho OFÍCIO; 12 fitas crepe (24mm x 50m); 4 borrachas brancas (capa vermelha); 1 bobina de plástico bolha 1,22m x 85m.</t>
  </si>
  <si>
    <t>Impressão de 14 cartões de amigos produzidos através da Abrace Uma Causa para a temporada 2026.</t>
  </si>
  <si>
    <t>Rembolso da passagem de repatriação para o USA com retorno no dia 26/04. O valor reembolsado sera de 50% do valor total da passagem.</t>
  </si>
  <si>
    <t>A Abrace Uma Causa foi contratada para desenvolver e operar  a plataforma tecnológica para venda do programa Amigos da Filarmônica. Valor referente a percentual sobre o arrecadação do Programa Amigos da Filarmônica. Competência: Março/2026.</t>
  </si>
  <si>
    <t>Prestação de serviços pelos correios em 2026. Competência: Março/2026</t>
  </si>
  <si>
    <t>Impressão de programas dos concertos da Temporada 2026 da Orquestra Filarmônica de Minas Gerais. Ref: Allegro/Vivace 1</t>
  </si>
  <si>
    <t xml:space="preserve">Rescisao ELIZABETH ROSE                                                                                                                                                                                                                                        </t>
  </si>
  <si>
    <t>Compra de case de celular para atender a demanda da recepção. EQUIPE CELULARES ASSISTENCIA E MANUTENCAO. CNPJ: 44.964.774/0001-08.</t>
  </si>
  <si>
    <t>Aluguel de partituras para a Gravação 1 (11 a 21 de fevereiro). Obra: Rezende - Vereda. Regente: Fabio Mechetti.</t>
  </si>
  <si>
    <t>Passagens aéreas para o percussionista Leonardo Caire (São Luís/BH/Sao Paulo), para os concertos Allegro Vivace 3 a serem realizados nos dias 07/05/2026 a 08/05/2026, na Sala Minas Gerais.</t>
  </si>
  <si>
    <t>Pedido complementar ao 74858. Solicitação de passagem aérea para o violinista Pablo de Leon (FDS 3, AV 4 e AV 5). Foi necessária a alteração do trecho de ida do artista no dia 27/05/2026 para adequação de horário. (Horário original: saída de BSB às 9h35 e chegada a BH às 11h. Horário atual: saída de BSB às 21h e chegada a BH às 22h25).</t>
  </si>
  <si>
    <t>Fornecimento de 5 vídeos brutos gravados no ano de 2025, para compor um banco de dados para serem utilizados em material promocional da Sala Minas Gerais e da Orquestra Filarmônica de Minas Gerais. Os vídeos foram gravados durante concertos na Sala Minas Gerais.</t>
  </si>
  <si>
    <t>Aluguel de partituras para o concerto Fora de Série I (28 de fevereiro). Obra: Villa-Lobos - Bachianas Brasileiras n.8. Regente: José Soares.</t>
  </si>
  <si>
    <t>Aluguel de partituras para a Gravação I e Allegro I e Vivace II (11 a 21 de fevereiro e 12 e 13 de março). Obras: Avessia e Viagem ao Vento. Regente: Fabio Mechetti.</t>
  </si>
  <si>
    <t>Cobertura fotográfica de 6 concertos da Temporada 2026 da Orquestra Filarmônica de Minas Gerais. Ref: Allegro/Vivace 2</t>
  </si>
  <si>
    <t>Contratação de assessoria contábil. Competência: Abril/2026</t>
  </si>
  <si>
    <t>Contratação de serviço de revisão de conteúdos: programas impressos, peças gráficas digitais, e-mails, demais materiais impressos e outros materiais produzidos pelo Departamento de Comunicação. Competência: Março/2026</t>
  </si>
  <si>
    <t>Contratação do serviço de redação, revisão e edição de textos das séries AV e PV da Temporada 2026. Competência: Abril/2026</t>
  </si>
  <si>
    <t>Hospedagem para a pianista Sonia Rubinsky, solista convidada dos concertos Allegro e Vivace 2, realizados nos dias 09 e 10 de abril de 2026, às 20h30, na Sala Minas Gerais.</t>
  </si>
  <si>
    <t>Contratação da pianista Sonia Rubinsky como solista convidada nos concertos Allegro e Vivace 2, nos dias 09 e 10/04/2026, às 20h30, na Sala Minas Gerais.</t>
  </si>
  <si>
    <t>Prestação de serviços de assessoria jurídica.
Competência: Março/2026</t>
  </si>
  <si>
    <t>Passagem aérea para atender a Gerente de Produção e o Produtor na visita técnica em São Luis do Maranhão, 11/05 (CNF - BELO HORIZONTE x SLZ - SAO LUIS), (SLZ - SAO LUIS x CNF - BELO HORIZONTE), com escala no aeroporto de BSB, por ocasião da realização da visita técnica.</t>
  </si>
  <si>
    <t>Passagens aéreas para o violoncelista Christian Munawek (Vitória/BH/Vitória), para os concertos Allegro Vivace 3 a serem realizados nos dias 07/05/2026 a 08/05/2026, na Sala Minas Gerais.</t>
  </si>
  <si>
    <t>Serviço de afinação dos pianos da Orquestra Filarmonica de MG durante o primeiro semestre de 2026. Competência: Abril/2026</t>
  </si>
  <si>
    <t>Serviços de entrega via motoboy realizados no mês de março de 2026.</t>
  </si>
  <si>
    <t xml:space="preserve">FGTS rescisão Elizabeth Rose                                                                                                                                                                                                                                   </t>
  </si>
  <si>
    <t>Compra de minifix hafele para tender a demanda do setor de operacoes/infraestrutura. COMERCIO FG LTDA. CNPJ: 02.968.810/0001-61</t>
  </si>
  <si>
    <t>Compra de refil porta cartao e fichario para atender a demanda do setor de operacoes/infraestrutura. KALUNGA SA. CNPJ: 43.283.811/0123-28.</t>
  </si>
  <si>
    <t>3 Recibos  para restituição referente à despesas de locomoção (Uber) da reunião do Conselho de Administração e Assembléia Geral do ICF.</t>
  </si>
  <si>
    <t>Aditivo referente ao contrato do pedido 74198. Aluguel para concerto extra do Especial I (03 de abril). Obra: Schifrin - Missão Impossível. Regente: José Soares.</t>
  </si>
  <si>
    <t>Receita bruta da bilheteria do concerto PRESTO III, realizado no dia 16/04/2026 na Sala Minas Gerais.</t>
  </si>
  <si>
    <t>Receita bruta da bilheteria do concerto VELOCE III, realizado no dia 17/04/2026 na Sala Minas Gerais.</t>
  </si>
  <si>
    <t xml:space="preserve">Repasse realizado a maior pelo cliente conforme relatório e email anexo, será reembolsado.                                                                                                                                                                     </t>
  </si>
  <si>
    <t>Compra de po de cafe para reposicao da copa. DMA DISTRIBUIDORA SA. CNPJ: 01.928.075/0016-86.</t>
  </si>
  <si>
    <t>Impressão de 50 crachás para a 1ª Edição dos Concertos Didáticos de 2026, para uso dos monitores nas Oficinas de Monitoria e da equipe de voluntários que irá atuar na recepção do público nos concertos da edição, na Sala Minas Gerais.</t>
  </si>
  <si>
    <t>Repassado ao funcionário Paulo Cesar Vieira da Silva correspondente a passagens de ônibus para deslocamentos em demandas administrativas. Paulo Cesar Vieira da Silva.</t>
  </si>
  <si>
    <t>Pagamento de taxa -  referente ao uso do espaço publico para eventos em geral do concerto da Orquestra Filarmônica de MG no Parque Ecológico da Pampulha no dia 24/05/26.</t>
  </si>
  <si>
    <t>Compra de frutas para atender ao camarim no Concerto Fora de Serie 2 no dia 25/04/2026. SUPER VAREJAO CARACA LTDA. CNPJ: 26.068.130/0003-11.</t>
  </si>
  <si>
    <t>Auditoria externa independente do exercício fiscal 2025. Período para execução das atividades - Competência: Abril/2026.</t>
  </si>
  <si>
    <t xml:space="preserve">Adiantamento referente a peça para trava dos suporte dos instrumento de percussão da OFMG.Parceiro(5408)Musical Express(2385)Mercadopago.                                                                                                                      </t>
  </si>
  <si>
    <t>Aluguel de partituras para os concertos Allegro I e Vivace I (12 e 13 de março). Obra: Corigliano - Concerto para clarinete. Regente: Fabio Mechetti. Solista: Marcus Julius Lander.</t>
  </si>
  <si>
    <t xml:space="preserve">Adiantamento referente a aquisição de instrumento de percussão, pandeiro,  para Orquestra Filarmonica de Minas Gerais.Parceiro(5415Web Music(2385)Mercadopago.                                                                                                 </t>
  </si>
  <si>
    <t xml:space="preserve">Adiantamento referente a Compra de um termometro para o setor de operações para verificações e aferições de temperaturas nos ambientes da Sala Minas Gerais.Parceiro(2385)Mercadopago.                                                                         </t>
  </si>
  <si>
    <t xml:space="preserve">Adiantamento referente ao valor do vale Refeição mensal para os funcionários do ICF. Competência: Maio/2026.Parceiro (14)Alelo.                                                                                                                                </t>
  </si>
  <si>
    <t xml:space="preserve">Adiantamento referente ao valor do vale alimentação mensal para os funcionários do ICF. Competência: Maio/2026.Parceiro (14)Alelo.                                                                                                                             </t>
  </si>
  <si>
    <t xml:space="preserve">Adiantamento referente ao valor do vale cultura mensal para os funcionários do ICF. Competência: Maio/2026.Parceiro (14)Alelo.                                                                                                                                 </t>
  </si>
  <si>
    <t xml:space="preserve">Adiantamento referente ao vale transporte mensal para funcionários que utilizam o transporte pelo sistema DER.Competência: Maio/2026.Parceiro (245)Consorcio Otimo.                                                                                            </t>
  </si>
  <si>
    <t xml:space="preserve">Adiantamento referente ao vale transporte mensal para funcionários que utilizam o transporte pelo sistema DER.Competência: Maio/2026.Parceiro (244)Tranfacil.                                                                                                  </t>
  </si>
  <si>
    <t xml:space="preserve">Reembolso de adiantamento referente a Compra de um termometro para o setor de operações para verificações e aferições de temperaturas nos ambientes da Sala Minas Gerais.Parceiro(2385)Mercadopago.
                                                           </t>
  </si>
  <si>
    <t xml:space="preserve">Depósito judicial referente ao IR sobre aplicação financeira, competência Março/2026 - conta 00267-9 (fundos 201 e 202)
Número do processo: 00.100.43-81.2017.4.01.3800
                                                                                       </t>
  </si>
  <si>
    <t xml:space="preserve">Depósito judicial referente ao IOF sobre aplicação financeira, competência Março/2026 - conta 00267-9 (fundos 201).
Número do processo: 00100438120174013800
                                                                                                  </t>
  </si>
  <si>
    <t>Serviço do cartório de notas, referente ao mês de abril/2026. Despesa com ata da assembleia geral.</t>
  </si>
  <si>
    <t>Serviço do cartório de notas, referente ao mês de abril/2026. Despesa com ata do Conselho de Administração.</t>
  </si>
  <si>
    <t xml:space="preserve">Adiantamento referente lavanderia abril/2026                                                                                                                                                                                                                   </t>
  </si>
  <si>
    <t xml:space="preserve">Devolução repasse realizado a maior sem considerar retenção de ISS.                                                                                                                                                                                            </t>
  </si>
  <si>
    <t>Compra de material de copa: 36 unidades de leite; 4 pacotes de açúcar cristal de 5 kg; 23 unidades de manteiga; 20 pacotes de café extraforte; 1 embalagem fechada com 10 buchas; 6 unidades de detergente; 5 unidades de cloro ativo.</t>
  </si>
  <si>
    <t>Serviço de manutenção preventiva/corretiva dos 10 elevadores do predio da Sala Minas Gerais. Competência: Março/2026.</t>
  </si>
  <si>
    <t xml:space="preserve">Férias Dayane 05/2026                                                                                                                                                                                                                                          </t>
  </si>
  <si>
    <t xml:space="preserve">Férias Felipe 05/2026                                                                                                                                                                                                                                          </t>
  </si>
  <si>
    <t>Atendentes no período de captação de recursos do Programa Amigos da Filarmônica e Campanha de Assinaturas, para apoio no atendimento telefônico e presencial, bem como na montagem dos kits da Temporada 2026. Competência: Março/2026.</t>
  </si>
  <si>
    <t>Mensalidade de assessoria administrativa-financeira para a gestão dos projetos aprovados nos mecanismos de incentivo fiscal para a manutenção e realização das Temporadas 2025 e 2026 da Orquestra Filarmônica de Minas Gerais. Competência: Fevereiro/2026.</t>
  </si>
  <si>
    <t>Serviço de conservação e limpeza. Contrato referente aos meses de Janeiro a Dezembro de 2026. Competência: março/2026</t>
  </si>
  <si>
    <t>Locação de 1 NO-BREAK'S para serem utilizados nas trasmissões online dos concertos. Competência: Abril/2026.</t>
  </si>
  <si>
    <t>Impressão de 4 cartazes para outdoor, para divulgação do concerto Turnê Estadual - Betim.</t>
  </si>
  <si>
    <t>Contratação do ator Chico Pelúcio, convidado para a ópera "O Segredo de Susanna", de Wolf-Ferrari, nos concertos Presto e Veloce 3, nos dias 16 e 17 de abril de 2026, às 20h30, na Sala Minas Gerais.</t>
  </si>
  <si>
    <t>Contratação de JOSE HENRIQUE SOARES VIANA, musicista de notória qualidade musical, para participação como percussionista junto à Orquestra Filarmônica de MG, a título de complementação de posições necessárias ao repertório nos concertos Allegro/Vivace 1, no período de 12/03/2026 a 13/03/2026, na sala Minas Gerais.</t>
  </si>
  <si>
    <t>Contratação temporaria de 01 contrarregra no concerto Presto e Veloce 3  ( Opera Semi-encenada – O segredo de Suzana e o Telefone )  da Orquestra Filarmônica de MG entre os dias 13 a 17/04 na Sala Minas Gerais.</t>
  </si>
  <si>
    <t>Contratação de Serviços de 01 camareira para o ensaio e concertos Presto e Veloce 3  ( Opera Semi-encenada – O segredo de Suzana e o Telefone )  da Orquestra Filarmônica de MG entre os dias 15, 16, 17/04/2026.</t>
  </si>
  <si>
    <t>Hospedagem para o diretor artístico Jorge Takla, para a soprano Raquel Paulin e para o barítono Lício Bruno, solistas convidados dos concertos Presto e Veloce 3, realizados nos dias 16 e 17 de abril de 2026, às 20h30, na Sala Minas Gerais.</t>
  </si>
  <si>
    <t>Cobertura fotográfica de 6 concertos da Temporada 2026 da Orquestra Filarmônica de Minas Gerais. Ref: Presto/Veloce 3</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</si>
  <si>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Março/2026</t>
  </si>
  <si>
    <t>Cobertura fotográfica de 6 concertos da Temporada 2026 da Orquestra Filarmônica de Minas Gerais. Ref: Câmara 1</t>
  </si>
  <si>
    <t xml:space="preserve">Adiantamento referente ao valor do benefício de alimentação da funcionária Maria Clara jovem aprendiz.Parceiro (14)Alelo.                                                                                                                                      </t>
  </si>
  <si>
    <t>Compra de frutas para atender ao camarim no Especial Minas de Todos os Sons no dia 30/04/2026. SUPER VAREJAO CARACA LTDA. CNPJ: 26.068.130/0003-11.</t>
  </si>
  <si>
    <t>Compra de refrigerantes para atender ao camarim no Concerto Especial Minas de Todos os Sons no dia 30/04/2026. DMA DISTRIBUIDORA SA. CNPJ:01.928.075/0016-86.</t>
  </si>
  <si>
    <t xml:space="preserve">Rendimento aplicação financeira Abril/2026.                                                                                                                                                                                                                    </t>
  </si>
  <si>
    <t xml:space="preserve">IR Rendimento aplicação abril/2026.                                                                                                                                                                                                                            </t>
  </si>
  <si>
    <t xml:space="preserve">IR Rendimento aplicação Abril/2026.                                                                                                                                                                                                                            </t>
  </si>
  <si>
    <t xml:space="preserve">IOF Rendimento aplicação financeira Abril/2026.                                                                                                                                                                                                                </t>
  </si>
  <si>
    <t>Contratação de 2 carregadores para retirada de móveis que foram emprestados pela CODEMGE que estavam na casa tombada (mineiraria) do Centro cultural presidente Itamar Franco e leva-los até o 1º foyer da Sala Minas Gerais</t>
  </si>
  <si>
    <t xml:space="preserve">Adiantamento referente vale transporte da Jovem Aprendiz - Maria Clara                                                                                                                                                                                         </t>
  </si>
  <si>
    <t xml:space="preserve">IR rendimento apllicação financeira PLANO ANUAL 2026 mes de Abril/2026.                                                                                                                                                                                        </t>
  </si>
  <si>
    <t xml:space="preserve">Rendimento aplicação financeira conta movimento referente ao mês de Abril/2026.                                                                                                                                                                                </t>
  </si>
  <si>
    <t>Receita bruta da bilheteria do concerto FORA DE SERIE II, realizado no dia 25/04/2026 na Sala Minas Gerais.</t>
  </si>
  <si>
    <t xml:space="preserve">Depósito judicial referente ao IOF sobre aplicação financeira, competência Março/2026 - conta 00268-7 (fundos 201).
Número do processo: 00100438120174013800 - ID: 120621000052305107
                                                                         </t>
  </si>
  <si>
    <t xml:space="preserve">Depósito judicial referente ao IR sobre aplicação financeira, competência Março/2026 conta 00268-7 (fundos- 201)
Número do processo: 00100438120174013800
                                                                                                     </t>
  </si>
  <si>
    <t xml:space="preserve">IR rendimento apllicação financeira PA 2024/2025 mes de Abril/2026.                                                                                                                                                                                            </t>
  </si>
  <si>
    <t xml:space="preserve">IOF Rendimento aplicação financeira Abril/2025.                                                                                                                                                                                                                </t>
  </si>
  <si>
    <t>Transferência de rendimento de aplicação financeira referente ao mês 01/2026 para Conta Reserva</t>
  </si>
  <si>
    <t>Transferência de rendimento de aplicação financeira referente ao mês 02/2026 para Conta Reserva</t>
  </si>
  <si>
    <t>Transferência de rendimento de aplicação financeira referente ao mês 03/2026 para Conta Reserva</t>
  </si>
  <si>
    <t>Apresentação da Orquestra Filarmônica de Minas Gerais no dia 02/10/2025 na Sala Minas Gerais para realização do Evento de premiação daCBMM.</t>
  </si>
  <si>
    <t>Transferência de rendimento de aplicação financeira para Conta Reserva. Referencia: 01/02026</t>
  </si>
  <si>
    <t>Transferência de rendimento de aplicação financeira para Conta Reserva. Referencia: 02/02026</t>
  </si>
  <si>
    <t>Transferência de rendimento de aplicação financeira para Conta Reserva. Referencia: 03/02026</t>
  </si>
  <si>
    <t>Transferência da conta de captação para a conta de movimento, referente ao pagamento em conta equivocada por parte da CBMM.</t>
  </si>
  <si>
    <t>Transferência da conta de movimento, para a conta do RPS, referente ao pagamento em conta equivocada por parte da CBMM.</t>
  </si>
  <si>
    <t xml:space="preserve">Sindicato dos músicos Folha 12/2025.                                                                                                                                                                                                                          </t>
  </si>
  <si>
    <t>Despesas com IPTU referente ao Termo de Uso da Sala Minas Gerais. Competência: Fevereiro/2026</t>
  </si>
  <si>
    <t>Desconto referente ao valor pago pelo ICF na compra de 2 compressores de ar condicionado</t>
  </si>
  <si>
    <t xml:space="preserve">Quitação de acordo trabalhista processo 0010841-26.2025.5.03.0016. </t>
  </si>
  <si>
    <t xml:space="preserve">Patrocinio recebido na conta captação 59904-2 dia 23/04/2026. COMPANHIA BRASILEIRA DE METALURGIA E MINERACAO CBMM                                                                                                                                                                                                  </t>
  </si>
  <si>
    <t>Fundo Fixo</t>
  </si>
  <si>
    <t>02/05/2026</t>
  </si>
  <si>
    <t>05/05/2026</t>
  </si>
  <si>
    <t>06/05/2026</t>
  </si>
  <si>
    <t>07/05/2026</t>
  </si>
  <si>
    <t>08/05/2026</t>
  </si>
  <si>
    <t>11/05/2026</t>
  </si>
  <si>
    <t>12/05/2026</t>
  </si>
  <si>
    <t>13/05/2026</t>
  </si>
  <si>
    <t>14/05/2026</t>
  </si>
  <si>
    <t>15/05/2026</t>
  </si>
  <si>
    <t>18/05/2026</t>
  </si>
  <si>
    <t>19/05/2026</t>
  </si>
  <si>
    <t>20/05/2026</t>
  </si>
  <si>
    <t>21/05/2026</t>
  </si>
  <si>
    <t>22/05/2026</t>
  </si>
  <si>
    <t>25/05/2026</t>
  </si>
  <si>
    <t>26/05/2026</t>
  </si>
  <si>
    <t>27/05/2026</t>
  </si>
  <si>
    <t>28/05/2026</t>
  </si>
  <si>
    <t>29/05/2026</t>
  </si>
  <si>
    <t>01/05/2026</t>
  </si>
  <si>
    <t>21/04/2026</t>
  </si>
  <si>
    <t>18/04/2026</t>
  </si>
  <si>
    <t>11/04/2026</t>
  </si>
  <si>
    <t>29/04/2026</t>
  </si>
  <si>
    <t>09/05/2026</t>
  </si>
  <si>
    <t>03/05/2026</t>
  </si>
  <si>
    <t>23/05/2026</t>
  </si>
  <si>
    <t xml:space="preserve">LAWDON PRESS                                                </t>
  </si>
  <si>
    <t xml:space="preserve">LAURA SILVA CLAUDIANO                                       </t>
  </si>
  <si>
    <t xml:space="preserve">15889828665   </t>
  </si>
  <si>
    <t xml:space="preserve">BH SEG EQUIPAMENTOS DE PROTECAO INDIVIDUAL LTDA             </t>
  </si>
  <si>
    <t>22202833000178</t>
  </si>
  <si>
    <t xml:space="preserve">33.034.726 JEAN CARLOS MARTINS                              </t>
  </si>
  <si>
    <t>33034726000102</t>
  </si>
  <si>
    <t xml:space="preserve">JOANNA CAROLINA BELLO ALVARADO                              </t>
  </si>
  <si>
    <t xml:space="preserve">06316578784   </t>
  </si>
  <si>
    <t xml:space="preserve">FLAVIA MOTTA DE OLIVEIRA GUINEZ                             </t>
  </si>
  <si>
    <t xml:space="preserve">08359224722   </t>
  </si>
  <si>
    <t xml:space="preserve">CAMILA DE MOURA PACIFICO HOMEM                              </t>
  </si>
  <si>
    <t xml:space="preserve">01364692643   </t>
  </si>
  <si>
    <t xml:space="preserve">MARTHA DE MOURA PACIFICO HOMEM REZENDE                      </t>
  </si>
  <si>
    <t xml:space="preserve">01364702622   </t>
  </si>
  <si>
    <t xml:space="preserve">LAURA VON ATZINGER SANTOS CARDOSO                           </t>
  </si>
  <si>
    <t xml:space="preserve">06585920686   </t>
  </si>
  <si>
    <t xml:space="preserve">BRAIN BOX COMERCIO E SERVIÇOS DE                            </t>
  </si>
  <si>
    <t>55809663000143</t>
  </si>
  <si>
    <t xml:space="preserve">LUIS OTAVIO AMORIM REZENDE                                  </t>
  </si>
  <si>
    <t xml:space="preserve">01368438679   </t>
  </si>
  <si>
    <t xml:space="preserve">ERIKA ZILLER                                                </t>
  </si>
  <si>
    <t xml:space="preserve">02932115669   </t>
  </si>
  <si>
    <t xml:space="preserve">WILSON NELIO BRUMER                                         </t>
  </si>
  <si>
    <t xml:space="preserve">04914236672   </t>
  </si>
  <si>
    <t xml:space="preserve">MARIA FERNANDA DALVIO GONCALVES 25.285.025/0001-00          </t>
  </si>
  <si>
    <t xml:space="preserve">29723508800   </t>
  </si>
  <si>
    <t xml:space="preserve">KAROLINA CORDEIRO LIMA                                      </t>
  </si>
  <si>
    <t xml:space="preserve">10697367754   </t>
  </si>
  <si>
    <t xml:space="preserve">OXY-PRÓ CONTROLES PARA AR CONDICIONADO LTDA.                </t>
  </si>
  <si>
    <t>09198939000187</t>
  </si>
  <si>
    <t>17155342000183</t>
  </si>
  <si>
    <t xml:space="preserve">COFERMETA SA                                                </t>
  </si>
  <si>
    <t>17281973000300</t>
  </si>
  <si>
    <t xml:space="preserve">THIAGO SILK SUBLIMACAO LTDA                                 </t>
  </si>
  <si>
    <t>20655104000141</t>
  </si>
  <si>
    <t>TRANE TECHNOLOGIES INDUSTRIA, COMERCIO E SERVICOS DE AR-COND</t>
  </si>
  <si>
    <t>01610517001480</t>
  </si>
  <si>
    <t xml:space="preserve">CAMERA WORK PRODUCOES FOTOGRAFICAS E CULTURAIS LTDA - ME    </t>
  </si>
  <si>
    <t>02860030000101</t>
  </si>
  <si>
    <t xml:space="preserve">PAO DE CASA COMERCIO E </t>
  </si>
  <si>
    <t xml:space="preserve">RAQUEL LOBUE PAULIN LTDA                                    </t>
  </si>
  <si>
    <t>43668135000132</t>
  </si>
  <si>
    <t xml:space="preserve">JORGE TAKLA PRODUCOES CULTURAIS SOCIEDADE SIMPLES LIMITADA  </t>
  </si>
  <si>
    <t>05330554000170</t>
  </si>
  <si>
    <t xml:space="preserve">BH LOCACAO DE PAINEIS E SINALIZACAO LTDA                    </t>
  </si>
  <si>
    <t>07326513000136</t>
  </si>
  <si>
    <t xml:space="preserve">PROMOAR INFLAVEIS PROMOCIONAIS LTDA                         </t>
  </si>
  <si>
    <t xml:space="preserve">ARTWORK DIGITAL                                             </t>
  </si>
  <si>
    <t>00752643000191</t>
  </si>
  <si>
    <t xml:space="preserve">AMALIA FRANCISCA DE VINCENZO PRODUCOES                      </t>
  </si>
  <si>
    <t>11814862000174</t>
  </si>
  <si>
    <t xml:space="preserve">ACADEMIA CLICKUP INTERNATIONAL CONSULTING LTDA              </t>
  </si>
  <si>
    <t>39850221000194</t>
  </si>
  <si>
    <t xml:space="preserve">ARTES BH DIGITAL LTDA                                       </t>
  </si>
  <si>
    <t>12419108000100</t>
  </si>
  <si>
    <t xml:space="preserve">CASSIA RENATA FONSECA LIMA                                  </t>
  </si>
  <si>
    <t xml:space="preserve">27895372831   </t>
  </si>
  <si>
    <t xml:space="preserve">VALENTINA SHMYREVA                                          </t>
  </si>
  <si>
    <t xml:space="preserve">70576867659   </t>
  </si>
  <si>
    <t xml:space="preserve">CLEMENCE MADELEINE MARIE BOINOT                             </t>
  </si>
  <si>
    <t xml:space="preserve">70446152609   </t>
  </si>
  <si>
    <t xml:space="preserve">ELENA SUCHKOVA                                              </t>
  </si>
  <si>
    <t xml:space="preserve">01937866645   </t>
  </si>
  <si>
    <t xml:space="preserve">WTM DO BRASIL SERVICOS S/A                                  </t>
  </si>
  <si>
    <t>20711662000187</t>
  </si>
  <si>
    <t xml:space="preserve">KABUM COMERCIO ELETRONICO S.A.                              </t>
  </si>
  <si>
    <t>05570714000159</t>
  </si>
  <si>
    <t xml:space="preserve">UMA ASSESSORIAS LTDA.                                       </t>
  </si>
  <si>
    <t>19073389000123</t>
  </si>
  <si>
    <t xml:space="preserve">SOLANGE MARIA COELHO                                        </t>
  </si>
  <si>
    <t xml:space="preserve">04631622695   </t>
  </si>
  <si>
    <t xml:space="preserve">CHAVEIRO BARRO PRETO LTDA - ME                              </t>
  </si>
  <si>
    <t>07796148000123</t>
  </si>
  <si>
    <t xml:space="preserve">EXPRESSO UNIR LTDA                                          </t>
  </si>
  <si>
    <t>23452196000150</t>
  </si>
  <si>
    <t xml:space="preserve">BELJET EXTINTORES LTDA                                      </t>
  </si>
  <si>
    <t>23264575000117</t>
  </si>
  <si>
    <t xml:space="preserve">MLM ACIONAMENTOS E AUTOMACAO ELETRICA LTDA                  </t>
  </si>
  <si>
    <t>71285704000104</t>
  </si>
  <si>
    <t xml:space="preserve">MATHEUS LUIZ FERREIRA                                       </t>
  </si>
  <si>
    <t>47315240000149</t>
  </si>
  <si>
    <t xml:space="preserve">KESIA BARBOSA DE ASSUNCAO 10182890627                       </t>
  </si>
  <si>
    <t>17014496000155</t>
  </si>
  <si>
    <t xml:space="preserve">MX PROPAGANDA E PUBLICIDADE LTDA                            </t>
  </si>
  <si>
    <t>46329422000106</t>
  </si>
  <si>
    <t xml:space="preserve">INCONFIDENTES PRODUCOES ARTISTICAS LTDA                     </t>
  </si>
  <si>
    <t>34967609000156</t>
  </si>
  <si>
    <t xml:space="preserve">BUFFET E LAZER LTDA                                         </t>
  </si>
  <si>
    <t>02682112000103</t>
  </si>
  <si>
    <t xml:space="preserve">ALMA MARIA LIEBRECHT                                        </t>
  </si>
  <si>
    <t xml:space="preserve">02084162696   </t>
  </si>
  <si>
    <t xml:space="preserve">LIMPEV SERVIÇOS LTDA ME                                     </t>
  </si>
  <si>
    <t>11098547000198</t>
  </si>
  <si>
    <t xml:space="preserve">CHRISTIAN ALBERTO MUNAWEK                                   </t>
  </si>
  <si>
    <t>48886611000105</t>
  </si>
  <si>
    <t xml:space="preserve">Ô DE CASAS PRODUÇÕES ARTÍSTICAS LTDA.                       </t>
  </si>
  <si>
    <t>09086606000166</t>
  </si>
  <si>
    <t xml:space="preserve">SUPLLYPACK IND COM E IMP MAQ E EMBALAGENS LTDA.             </t>
  </si>
  <si>
    <t>21532055000112</t>
  </si>
  <si>
    <t xml:space="preserve">CHILLER COMERCIO DE PECAS E ACESSORIOS LTDA                 </t>
  </si>
  <si>
    <t>35028609000153</t>
  </si>
  <si>
    <t xml:space="preserve">LIVIA CAMARGOS BRITO                                        </t>
  </si>
  <si>
    <t xml:space="preserve">08931366620   </t>
  </si>
  <si>
    <t xml:space="preserve">KLENIO DE CARVALHO MOREIRA 062.029.366-73                   </t>
  </si>
  <si>
    <t>60249467000100</t>
  </si>
  <si>
    <t xml:space="preserve">OTNIEL COELHO LOPES                                         </t>
  </si>
  <si>
    <t xml:space="preserve">35072458334   </t>
  </si>
  <si>
    <t xml:space="preserve">PEATON DO BRASIL COMERCIAL LTDA - EPP                       </t>
  </si>
  <si>
    <t>05440041000112</t>
  </si>
  <si>
    <t xml:space="preserve">BRASIL LOCACAO LTDA                                         </t>
  </si>
  <si>
    <t>37592883000186</t>
  </si>
  <si>
    <t xml:space="preserve">ERICA HOFFMANN SOARES                                       </t>
  </si>
  <si>
    <t>66252374000102</t>
  </si>
  <si>
    <t xml:space="preserve">BMR ESTRUTURAS LTDA                                         </t>
  </si>
  <si>
    <t>04519715000106</t>
  </si>
  <si>
    <t xml:space="preserve">MARIA CARLA PINO CURY                                       </t>
  </si>
  <si>
    <t>49457477000190</t>
  </si>
  <si>
    <t xml:space="preserve">DANIELA TAVARES PAOLIELLO 17.987.624/0001-47                </t>
  </si>
  <si>
    <t xml:space="preserve">07731733661   </t>
  </si>
  <si>
    <t>REVISTA/ OUTDOOR /JORNAL</t>
  </si>
  <si>
    <t>TRANSPORTE TERRESTRE</t>
  </si>
  <si>
    <t>LOCAÇÃO DE PALCOS E TENDAS</t>
  </si>
  <si>
    <t>Compra de bandeja para base nos concertos ,para colocar instrumentos e pano de musica.Parceiro 24 Org Brazalmeida CNPJ 22.300.487-0019-90.</t>
  </si>
  <si>
    <t>Plano corporativo Business Standard de emails e serviços Google. Competência: Março/2026.</t>
  </si>
  <si>
    <t>Renovação do serviço de envio automático/seriado de e-mails para o banco de contatos da Filarmônica. Competência: abril/2026</t>
  </si>
  <si>
    <t>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Abril/2026</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</si>
  <si>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Abril/2026</t>
  </si>
  <si>
    <t>Serviço de deslocamento urbano por aplicativo (Uber). Competência: março/2026</t>
  </si>
  <si>
    <t>Impressão de cartões de visitas para o Diretor Pedro Gattoni.</t>
  </si>
  <si>
    <t>Mensalidade de assessoria administrativa-financeira para a gestão dos projetos aprovados nos mecanismos de incentivo fiscal para a manutenção e realização das Temporadas 2025 e 2026 da Orquestra Filarmônica de Minas Gerais. Referente aos meses de maio/2025 a abril/2026. Competência: Março/2026.</t>
  </si>
  <si>
    <t>Serviços de vigilância externa atraves de câmeras de monitoramento. Competência: Abril/2026.</t>
  </si>
  <si>
    <t>Solicito diária integral para atender a Sra.Zilka Maria Caribé Carlos em viagem à cidade de São Paulo para acompanhar o Sr. Wilson Brumer em reuniões nas empresas B3, Itaú, Motiva e CBMM.</t>
  </si>
  <si>
    <t>Compra de divisória para atender demanda da funcionária Joseclaise do setor de marketing.Parceiro Kalunga CNPJ 43.283.811/0034-18.</t>
  </si>
  <si>
    <t>Aluguel de partituras para os concertos Presto IV e Veloce IV (21 e 22 de maio). Obra: Higdon - Concerto para oboé. Solista: Alexandre Barros. Regente: Natalia Salinas.</t>
  </si>
  <si>
    <t>Mensalidade de medicina e segurança do trabalho (PCMSO). Competência: Março</t>
  </si>
  <si>
    <t>Mensalidade de medicina e segurança do trabalho (PPRA). Competência: Março</t>
  </si>
  <si>
    <t>Receita bruta estacionamento 04/2026.</t>
  </si>
  <si>
    <t xml:space="preserve">Pensao folha Abril/2026.                                                                                                                                                                                                                                       </t>
  </si>
  <si>
    <t xml:space="preserve">Associação dos músicos Folha 04/2026.                                                                                                                                                                                                                          </t>
  </si>
  <si>
    <t xml:space="preserve">Repasse SEC - Referente ao contrato de Gestão 05/2026.                                                                                                                                                                                                         </t>
  </si>
  <si>
    <t xml:space="preserve">Pagamento folha 04/2026.                                                                                                                                                                                                                                       </t>
  </si>
  <si>
    <t xml:space="preserve">Pagamento  estagiaria folha 04/2026.                                                                                                                                                                                                                           </t>
  </si>
  <si>
    <t xml:space="preserve">FGTS folha 04/2026                                                                                                                                                                                                                                             </t>
  </si>
  <si>
    <t xml:space="preserve">FGTS emprestimo consignado folha 04/2026                                                                                                                                                                                                                       </t>
  </si>
  <si>
    <t>Valor referente a bolsa de estudo, concedida pelo ICF ao candidato aprovado em edital a Academia Filarmônica. Competência: Abril/2026</t>
  </si>
  <si>
    <t>Valor referente a participação na Academia Filarmônica. Competência: Abril/2026</t>
  </si>
  <si>
    <t>Valor referente a concessão de bolsa de aprendizado pelo ICF ao Bolsista, na condição de aluno da Academia Filarmônica. Competência: abril/2026.</t>
  </si>
  <si>
    <t xml:space="preserve">FGTS rescisão Jovem aprendiz Laura                                                                                                                                                                                                                             </t>
  </si>
  <si>
    <t xml:space="preserve">Rescisao LAURA SILVA CLAUDIANO                                                                                                                                                                                                                                 </t>
  </si>
  <si>
    <t xml:space="preserve">Férias Lucas 05/2026                                                                                                                                                                                                                                           </t>
  </si>
  <si>
    <t>Compra de mangueira airpressor PVC/BORR 3/4 LBS CEST, para manutenção no camarim 4.Parceiro NBH PEREIRA MANG E CONEXOES HIDRAUL LTDA 28.662.734-0001.55.</t>
  </si>
  <si>
    <t xml:space="preserve">Adiantamento referente ao valor referente ao benefício de refeição da funcionária Camila Molloy analista de comunicação.Competência: Junho/2026.Parceiro(14)Alelo.                                                                                             </t>
  </si>
  <si>
    <t>Compra de material elétrico ( projetor LED 50W, caixa 4x2 para drywall, tomada, suporte para tomada, espelho de tomada e placa de incicação 220V), para o setor de operações</t>
  </si>
  <si>
    <t>Compra de passagens aéreas para atender o Sr. Wilson Brumer e a Sra. Zilka Caribé em viagem à cidade de São Paulo para participar de várias reuniões com possíveis patrocinadores (UB3, Itaú, Motiva e CBMM), nos dias 05 e 06 de maio de 2026.</t>
  </si>
  <si>
    <t>Compra de EPIs para a equipe de gerência da orquestra.</t>
  </si>
  <si>
    <t>Prestação mensal referente à contratação do regente associado José Soares. Competência: Maio/2026</t>
  </si>
  <si>
    <t>Contratação do serviço de operação audiovisual para 16 concertos da orquestra Filarmônica de Minas Gerais, com transmissão ao vivo, durante a temporada 2026. Ref: Fora de Série 2</t>
  </si>
  <si>
    <t>Renovação contratual anual da licença de uso do software de Ponto Eletrônico. Competência: Maio/2026</t>
  </si>
  <si>
    <t>Contratação de Jean Carlos Martins, músico de notória qualidade musical, para participação como percussionista junto à Orquestra Filarmônica de MG, a título de complementação de posições necessárias ao repertório nos ensaios e Gravação 1, a serem realizados entre os dias 11 e 22 de fevereiro, na sala Minas Gerais.</t>
  </si>
  <si>
    <t>Contratação de transporte executivo para atendimento a solistas e regentes convidados.
Competência: Abril/2026</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</si>
  <si>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Abril/2026</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</si>
  <si>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Março/2026</t>
  </si>
  <si>
    <t>Mensalidade contratual para o serviço de suporte em TI durante aos concertos com transmissão ao vivo durante o ano de 2026. Ref: Fora de Série 1</t>
  </si>
  <si>
    <t>Mensalidade contratual para o serviço de suporte em TI. Competência: Abril/2026</t>
  </si>
  <si>
    <t>Mensalidade de internet banda larga de 240MB para a Sala Minas Gerais. Competência: Abril/2026</t>
  </si>
  <si>
    <t>Receita bruta da bilheteria do concerto ESPECIAL MINAS DE TODOS OS SONS, realizado no dia 30/04/2026 na Sala Minas Gerais.</t>
  </si>
  <si>
    <t>Receita bruta da bilheteria do concerto ESPECIAL MINAS DE TODOS OS SONS, realizado no dia 01/05/2026 na Sala Minas Gerais.</t>
  </si>
  <si>
    <t>Receita bruta da bilheteria do concerto ESPECIAL MINAS DE TODOS OS SONS, realizado no dia 02/05/2026 na Sala Minas Gerais.</t>
  </si>
  <si>
    <t>Impressão de três cartazes para colocar nas estruturas de acrílico do foyer. Os cartazes são para divulgar a campanha de Assinaturas - segunda chance.</t>
  </si>
  <si>
    <t xml:space="preserve">Repasse doações não incentivadas recebidas através do site Abrace Uma Causa mes 04/2026. Relatório em anexo.                                                                                                                                                   </t>
  </si>
  <si>
    <t>Compra de um celular para o setor - Gerência da orquestra.</t>
  </si>
  <si>
    <t>Prestação mensal referente a serviços de regente titular e Direção Artistica da Orquestra Filarmônica de Minas Gerais pelo Maestro Fábio Mechetti. Competência: maio/2026</t>
  </si>
  <si>
    <t>Taxa de licenciamento ( Guia PBH - Analise de Requerimento ) para o concerto da OFMG  no Parque Ecológico da Pampulha no dia 24/05/26.</t>
  </si>
  <si>
    <t>Diária de alimentação em razão da viagem por ocasião da visita técnica na cidades de São Luis do Maranhão, nos dias 11, 12/05. Período 11/05 às 08h00 ate 12/05 às 23h00.</t>
  </si>
  <si>
    <t xml:space="preserve">Adiantamento referente a compra de 3 unidades de placas de aviso livre e ocupado para as portas das salas de reunião.Parceiro(5446)Comunik Art(2385)Mercadopago.                                                                                               </t>
  </si>
  <si>
    <t>Diária de alimentação para 2 dias de visita técnica na cidade de São Luis/Maranhão, para concerto da OFMG. Dias 11 e 12 de maio.Dia 11/5 às 11h da mahã ate dia 12/5 às 23h.</t>
  </si>
  <si>
    <t>Compra de frutas para atender ao camarim no Concerto Allegro &amp; Vivace 3 07/05/2026. SUPER VAREJAO CARACA LTDA. CNPJ:26.068.130/0003-11.</t>
  </si>
  <si>
    <t>Compra de 3 peliculas para o setor de marketing e comunicação.Parceiro Equipe Celulares.</t>
  </si>
  <si>
    <t>Compra de pelicula de celular para atender o setor de comunicação.Parceiro P Cell .</t>
  </si>
  <si>
    <t xml:space="preserve">Adiantamento referente a aquisição de 1 aparelho telefônico para a secretária da diretoria.Parceiro(5437)Isabel Jurema(2385)MercadoPago.                                                                                                                       </t>
  </si>
  <si>
    <t>Serviço do cartório, referente ao mês de abril/2026. Despesa com reconhecimento de firma Wilson e Valentina.</t>
  </si>
  <si>
    <t xml:space="preserve">Adiantamento referente a aquisição de 1 microfone USB com captação 360º, para utilização nas salas de reunião.Parceiro(5458)Juliana Loucao(2385)MercadoPago.                                                                                                   </t>
  </si>
  <si>
    <t>Plano de saúde corporativo com abrangência nacional. Competência: Maio/2026</t>
  </si>
  <si>
    <t>Solicito diária integral de viagem para atender o Sr. Wilson Nélio Brumer em viagem a cidade de São Paulo nos dias 28 e 29 de abril de 2026, onde vai participar de reuniões nas empresas B3, Itaú, Motiva e CBMM.</t>
  </si>
  <si>
    <t>Compra de 1 webcam para atender as demandas de reunioes do Instituto, 7 pen drives para atender as areas de produção, comunicação e administrativo e um apontador de mesa para a gerencia de orquestra</t>
  </si>
  <si>
    <t xml:space="preserve">Doação recebida na conta de RPS - PIX TRANSF JOSE OL 08/05.                                                                                                                                                                                                    </t>
  </si>
  <si>
    <t xml:space="preserve">Depósito judicial referente ao ISS sobre receita da competência Abril/2026
Processo: 50253977120178130024-                                                                                                                                                     </t>
  </si>
  <si>
    <t xml:space="preserve">Adiantamento referente ao vale transporte de complementação para a nova jovem aprendiz Maria Clara.Parceiro(244)Transfacil.                                                                                                                                    </t>
  </si>
  <si>
    <t>Contratação do ERP Domínio, Implantação e Treinamento dos módulos Contabilidade, Escrita Fiscal, Atualizar, Patrimônio, Lalur, Folha de Pagamento, Auditoria, Portal do Cliente e Portal do Empregado. 
Número de usuários simultâneos: 5
Competência: abril/2026</t>
  </si>
  <si>
    <t>Compra de material de escritório: 1 unidade de pasta aba laminada; 2 unidades de grampeador 20fls; 1 unidade de livro-protocolo; 6 unidades de cola bastão; 4 cartelas de pilhas AAA; 1 unidade de pincel quadro branco azul; 1 unidade de pincel quadro branco preto; 1 unidade de pincel quadro branco vermelho; 2 unidades de tesoura grande; 2 unidades de mouse pad; 4 caixas de lápis 4B; 1 unidade de pasta sanfonada A4; 1 pacote borracha ponteira com 100un.</t>
  </si>
  <si>
    <t>Contratação de empresa para remoção de um espelho quebrado e instalação de um novo espelho na área de acesso aos sanitários no 2º Foyer da Sala Minas Gerais</t>
  </si>
  <si>
    <t>Receita locação espaço café, correspondente a 7% da receita bruta total, conforme relatório anexo da competência 04/2026.</t>
  </si>
  <si>
    <t xml:space="preserve">Taxa de Audição - Principal Violino e trompa- inscrições entre 04/05/2026 a 24/05/2026 - (Audição 13 e 14 de junho 2026) - PIX QRS LUDWIG VAN BEETHOVEN SILVA- 11/05.                                                                                          </t>
  </si>
  <si>
    <t xml:space="preserve">Taxa de Audição - Principal Violino e trompa- inscrições entre 04/05/2026 a 24/05/2026 - (Audição 13 e 14 de junho 2026) - PIX QRS EVGUENI GERASSIMOV - 11/05.                                                                                                 </t>
  </si>
  <si>
    <t>Mensalidade de telefonia fixa para a Sala Minas Gerais, sede do Instituto Cultural Filarmônica. Competência: Abril/2026</t>
  </si>
  <si>
    <t>Pagamento de taxa de conferencia/homologação  de Laura Silva Claudiano. Sindicato dos Trabalhadores em Entidades Culturais. CNPJ:00.786.960/0001-29</t>
  </si>
  <si>
    <t>Compra de pelicula de vidro para o celular da secretaria da presidencia.Parceiro Equipe Celulares.</t>
  </si>
  <si>
    <t>Mensalidade para locação de impressoras e franquia de impressões, na sede administrativa do Instituto Cultural Filarmônica. Competência: Maio/2026</t>
  </si>
  <si>
    <t>Aluguel de partituras para os concertos Presto VII e Veloce VII (10 e 11 de setembro). Obra: Rodrigo - Fantasia para um fidalgo. Solista: Fabio Zanon. Regente: Fabio Mechetti.</t>
  </si>
  <si>
    <t xml:space="preserve">Repasse doações incentivadas recebida na conta captação (59904-2) em 08/05/2026. Transferido para a conta movimento em 12/05/2026. Manoel Jesus Braga R$2.026,00 | Claudia Maria Profeta R$100,00 | Agnus Rocha R$600,00. Planilha anexa.                      </t>
  </si>
  <si>
    <t>Compra de 3 termostatos,para substituição no 2° andar na sala Minas Gerais</t>
  </si>
  <si>
    <t>Compra de fita isolante para atender às demandas de manutenção elétrica no setor de Operações.Parceiro Ferragens Dias Ltda, CNPJ nº 01.635.506/0001-30.</t>
  </si>
  <si>
    <t>Compra de frutas para atender ao camarim no ensaio do concerto Didaticos no dia 12/05/2026 SUPER VAREJAO CARACA LTDA. CNPJ: 26.068.130/0003-11.</t>
  </si>
  <si>
    <t>Compra de abraçadeiras para instalação das lonas de palco dos concertos de Praças e Turnês 2026.</t>
  </si>
  <si>
    <t>Compra de duas uniões (encanamento) de 75mm soldável e duas luvas (encanamento), para manutenção nos tubos de água do 2º Foyer</t>
  </si>
  <si>
    <t xml:space="preserve">Adiantamento referente a confecção de 500 capas para encosto das cadeiras utilizadas nos concertos externos.As capas são para divulgar a campanha Amigos da Filarmônica.Parceiro (5423)Thiago Silk.                                                            </t>
  </si>
  <si>
    <t xml:space="preserve">Depósito judicial referente ao IR sobre aplicação financeira, competência abril/2026 conta 00268-7 (fundos- 201)
Número do processo: 00100438120174013800                                                                                                      </t>
  </si>
  <si>
    <t xml:space="preserve">Taxa de Audição - Principal Violino e trompa- inscrições entre 04/05/2026 a 24/05/2026 - (Audição 13 e 14 de junho 2026) - PIX QRS RODRIGO MONTEIRO BRAGA - 13/05.                                                                                             </t>
  </si>
  <si>
    <t xml:space="preserve">Depósito judicial referente ao IR sobre aplicação financeira, competência Abril/2026 - conta 00267-9 (fundos 201 e 202)
Número do processo: 00.100.43-81.2017.4.01.3800
                                                                                       </t>
  </si>
  <si>
    <t>Compra de dois compressores para substituição no chiller 02 da CAG da Sala Minas Gerais</t>
  </si>
  <si>
    <t>Contratação de serviço de licenciamento de software para registro anônimo de denúncias dos funcionários do Instituto Cultural Filarmônica. Competência: Abril/2026.</t>
  </si>
  <si>
    <t>Compra de passagens aéreas para atender o Sr. Wilson Brumer e a Diretora Zilka Maria Caribé Carlos em viagem a cidade do Rio de Janeiro para cumprir agendas de reuniões com possíveis patrocinadores.</t>
  </si>
  <si>
    <t>Passagem aérea internacional (Nova Iorque - Belo Horizonte - Nova Iorque) para a solista convidada, violinista Geneva Lewis, para os concertos Presto e Veloce 5, nos dias 18 e 19 de junho de 2026, às 20h30, na Sala Minas Gerais.</t>
  </si>
  <si>
    <t>Cobertura fotográfica de 7 concertos da Temporada 2026 da Orquestra Filarmônica de Minas Gerais. Ref: Fora de Série 2</t>
  </si>
  <si>
    <t>Compra de lanche para atender reunião do Conselho Consultivo no dia 14/04/2026, o lanche em questão foi servido a 20 pessoas.</t>
  </si>
  <si>
    <t>Serviços de motoboy realizados em Abril de 2026.</t>
  </si>
  <si>
    <t>Hospedagem para a soprano Maria Carla Pino Cury e para o violoncelista Rafael Cesário, solistas convidados para o concerto Fora de Série 2, no dia 25 de abril de 2026, às 18h, na Sala Minas Gerais.</t>
  </si>
  <si>
    <t>Passagens aéreas parea Alexandre Guerra e André Mehmari, músicos convidados que serão jurados do Festival Tinta Fresca 2026, no dia 25/06/2026, às 20h30, na Sala Minas Gerais.</t>
  </si>
  <si>
    <t>Serviço de gerenciamento de bilheteria e controle de acesso para a Temporada 2025 (gestão online e bilheteria física). Competência: Abril/2026</t>
  </si>
  <si>
    <t>Hospedagem para Enric de Anciola, técnico de harpa que fará a regulagem e troca de feltros das duas harpas da OFMG.</t>
  </si>
  <si>
    <t>Passagens aéreas para o violinista Davi Graton, Spalla convidado para os concertos Presto e Veloce 5, nos dias 18 e 19/06/2026, às 20h30, e Fora de Série 5, no dia 22/08/2026, às 18h, na Sala Minas Gerais.</t>
  </si>
  <si>
    <t>Contratação da soprano Raquel Paulin, solista convidada para as óperas "O Segredo de Susanna", de Wolf-Ferrari e "O Telefone", de Menotti, nos concertos Presto e Veloce 3, nos dias 16 e 17 de abril de 2026, às 20h30, na Sala Minas Gerais.</t>
  </si>
  <si>
    <t>Captação de áudio para 16 transmissões ao vivo de concertos da Temporada 2026 da Orquestra Filarmônica de Minas Gerais. Ref: Fora de Série 2</t>
  </si>
  <si>
    <t>Mensalidade de assessoria administrativa-financeira para a gestão dos projetos aprovados nos mecanismos de incentivo fiscal para a manutenção e realização das Temporadas 2025 e 2026 da Orquestra Filarmônica de Minas Gerais. Competência: Abril/2026.</t>
  </si>
  <si>
    <t>Contratação do diretor cênico Jorge Takla para crianção e execução da estrutura cênica das óperas "O Segredo de Susanna", de Wolf-Ferrari e "O Telefone", de Menotti, nos concertos Presto e Veloce 3, nos dias 16 e 17 de abril de 2026, às 20h30, na Sala Minas Gerais.</t>
  </si>
  <si>
    <t>Compra diária de pães para os funcionários do ICF a fim de atender a determinação da convenção coletiva dos funcionários do ICF (Sindec). Competência: Abril/2026</t>
  </si>
  <si>
    <t>Serviço de clipagem diária e análise de mídia dos principais veículos impressos (jornais e revistas), digitais, rádios e TVs, com foco na Orquestra Filarmônica de Minas Gerais e no setor cultural. Competência: Maio/2026</t>
  </si>
  <si>
    <t>Passagens aéreas para o trompista Jdiordy Lucca Camargo Silva (Vitória/BH/Vitória), para os concertos Allegro Vivace 4 a serem realizados nos dias 11/06/2026 a 12/06/2026, na Sala Minas Gerais.</t>
  </si>
  <si>
    <t>Compra de partituras para os concertos: Allegro III e Vivace III (7 e 8 de maio); Presto VI e Veloce VI (6 e 7 de agosto); Allegro VI e Vivace VI (13 e 14 de agosto); Juventude III (28 de junho).</t>
  </si>
  <si>
    <t>Sistema de sonorização: fornecimento de um sistema de sonorização dimensionado para atender ao concerto ESPECIAL 2 nas datas de 30/04/2026 a 02/05/2026.</t>
  </si>
  <si>
    <t>Contratação do serviço de direção de imagens para 16 concertos da orquestra Filarmônica de Minas Gerais, com transmissão ao vivo, durante a temporada 2026. Ref: Fora de Série 2</t>
  </si>
  <si>
    <t>Locação de outdoors para o concerto de Turnê Estadual da Orquestra Filarmônica em Betim/MG. Serão 4 placas com veiculação por 4 semanas.</t>
  </si>
  <si>
    <t>Serviço de distribuição de material gráfico para divulgação do concerto externos de Betim.</t>
  </si>
  <si>
    <t>Confecção de dois instrumentos musicais em papeboard (papelão resistente) (violino e clarinete) para compor a ativação de marca da Petrobras durante o concerto externo de Betim.</t>
  </si>
  <si>
    <t>Passagens aéreas para Jonas Hocherman e Fernando Britto, compositores finalistas do Festival Tinta Fresca 2026, no dia 25/06/2026, às 20h30, na Sala Minas Gerais.</t>
  </si>
  <si>
    <t>Passagem aérea para o Coral da OSESP (53 passageiros) para os concertos Allegro e Vivace 6, dias 13 e 14/08/2026, 20h30, na Sala Minas Gerais. Origem: Belo Horizonte / Destino: São Paulo</t>
  </si>
  <si>
    <t>Contratação do violoncelista Rafael Cesário, solista convidado para o concerto Fora de Série 2 no dia 25 de de abril de 2026, às 18h, na Sala Minas Gerais.</t>
  </si>
  <si>
    <t>Pedido complementar ao pedido 75478. Contratação do serviço de treinamento da equipe, na ferramenta de gestão de tarefas ClickUp.</t>
  </si>
  <si>
    <t>Sonorização e iluminação do concerto da OFMG em Betim no dia 10/05/2026</t>
  </si>
  <si>
    <t>Impressão de todas as lonas (faixa informativa, testeira e banners laterais) para todos os concertos de Praças e Turnês Estaduais de 2026.</t>
  </si>
  <si>
    <t>A Abrace Uma Causa foi contratada para desenvolver e operar  a plataforma tecnológica para venda do programa Amigos da Filarmônica. Valor referente a percentual sobre o arrecadação do Programa Amigos da Filarmônica. Competência: Abril/2026.</t>
  </si>
  <si>
    <t>Reembolso de hospedagem conforme Regulamento de Compras e Contratações do Instituto.</t>
  </si>
  <si>
    <t>Deslocamento, em veiculo proprio, da Gerente Erika Ziller, no dia 08/05/2026, para
acompanhamento e fiscalização de posicionamento da estrutura de palco para o concerto da Filarmonica Praça Milton Campos – Betim, no dia 10/05/2026</t>
  </si>
  <si>
    <t xml:space="preserve">Reembolso de depósito realizado a maior ref concerto ESPECIAL MUSICA DE CINEMA no dia 02/04/2026 na Sala Minas Gerais.                                                                                                                                         </t>
  </si>
  <si>
    <t>Despesas com IPTU referente ao Termo de Uso da Sala Minas Gerais. Competência: Março/2026</t>
  </si>
  <si>
    <t>Despesas com serviços de manutenção e reparos referente ao Termo de Uso da Sala Minas Gerais. Competência: Março/2026</t>
  </si>
  <si>
    <t>Despesas com manutenção do sistema de CFTV referente ao Termo de Uso da Sala Minas Gerais. Competência: Março/2026</t>
  </si>
  <si>
    <t>Despesas com energia elétrica referente ao Termo de Uso da Sala Minas Gerais. Competência: Março/2026</t>
  </si>
  <si>
    <t>Despesas com água e esgoto referente ao Termo de Uso da Sala Minas Gerais. Competência: Março/2026</t>
  </si>
  <si>
    <t xml:space="preserve">Reembolso de repasse realizado a maior pelo cliente conforme relatório e email anexo.                                                                                                                                                                          </t>
  </si>
  <si>
    <t xml:space="preserve">Depósito judicial referente ao Cofins sobre receita da competência Abril/2026.
Processo: 00203084520174013800. ID: 120621000342306146                                                                                                                          </t>
  </si>
  <si>
    <t>Aquisição da plataforma de gestão de tarefas ClickUp, cuja versão gratuita vem sendo utilizada há mais de um ano. Neste período foi possível comprovar sua aderência às nossas rotinas de trabalho. A contratação da versão Pro se justifica pelo acesso a funcionalidades avançadas que proporcionarão maior automação, controle e integração dos fluxos de trabalho, com mais agilidade, produtividade e eficiência nos processos internos.</t>
  </si>
  <si>
    <t>Receita bruta da bilheteria do concerto ALEGRO III, realizado no dia 07/05/2026 na Sala Minas Gerais.</t>
  </si>
  <si>
    <t>Receita bruta da bilheteria do concerto VIVACE III, realizado no dia 08/05/2026 na Sala Minas Gerais.</t>
  </si>
  <si>
    <t>Projetor Powerlite E24 Epson 3.600 Lúmens Xga para as aulas teóricas e demais atividades pedagógicas da Academia Filarmônica.</t>
  </si>
  <si>
    <t xml:space="preserve">Pagamento realizado a maior para cliente referente a NF 719 será reembolsado.                                                                                                                                                                                  </t>
  </si>
  <si>
    <t xml:space="preserve">Adiantamento referente aquisição de cinta de segurança para os técnicos do ICF.Parceiro(5436)SSK IMPORT(2385)Mercadopago.                                                                                                                                      </t>
  </si>
  <si>
    <t xml:space="preserve">Adiantamento referente a compra de carrinho portátil multiuso para catering e apoio de produção da Orquestra Filarmônica de Minas Gerais em apresentações externas,incluindo concerto na Praça Parque Pampulha.Parceiro(5439)UTIL MARKET(2385)Mercadopago.     </t>
  </si>
  <si>
    <t>Compra de pastas para armazenamento de partituras do Arquivo</t>
  </si>
  <si>
    <t>Contratação de serviço temporário para auxiliar nas tarefas do marketing referentes à aprovação de marcas das peças gráficas impressas e digitais e relacionmento com os patrocinadores. Competência: Abril/2026</t>
  </si>
  <si>
    <t>Hospedagem para a cantora Mônica Salmaso e sua agente Carla Assis durante o período de ensaios e realização dos concertos especiais Minas de Todos os Sons, nos dias 30 de abril e 01 de maio de 2026, às 20h30, e 02 de maio de 2026, às 18h, na Sala Minas Gerais.</t>
  </si>
  <si>
    <t>Cobertura fotográfica de 6 concertos da Temporada 2026 da Orquestra Filarmônica de Minas Gerais. Ref: Especial 2</t>
  </si>
  <si>
    <t xml:space="preserve">Adiantamento referente a compra de frasqueira para armazenamento das cordas das harpas da OFMG.Parceiro(5447)Ravine(2385)Mercadopago.                                                                                                                          </t>
  </si>
  <si>
    <t>Contratação do serviço de impressão e instalação dos banners das caixas retroiluminadas que ficam na fachada frontal da Sala Minas Gerais. Serão 6 banners em lona backlight 2,93 x 0,93 - 4x0 cores. Competência: Junho/2026</t>
  </si>
  <si>
    <t>Compra de duas mesas e duas cadeiras para os gerentes da Diretoria de Produção e infraestrura</t>
  </si>
  <si>
    <t xml:space="preserve">Férias Solange 05/2026                                                                                                                                                                                                                                         </t>
  </si>
  <si>
    <t xml:space="preserve">Férias Flora 05/2026                                                                                                                                                                                                                                           </t>
  </si>
  <si>
    <t>Foram feitas 20 Cópias simples 02 Chaves sem modelo Armário 02 cópias de chave dupla.</t>
  </si>
  <si>
    <t>Locação de ônibus para transporte da OFMG (músicos e equipe) por ocasião dos concertos  em Betim no dia 10/05/2026. Parque Ecologico - Pampulha no dia 24/05/2026. Praça da Matriz  - Vespasiano no dia 06/06/2026. Praça da Glória Bairro Eldorado – Contagem no dia 12/07/2026.</t>
  </si>
  <si>
    <t>Mensalidade de telefonia móvel e modens móveis para o Instituto Cultural Filarmônica. Competência: abril/2026.</t>
  </si>
  <si>
    <t>Compra de frutas para atender ao camarim no Concerto Didáticos  no dia 15/05/2026. SUPER VAREJAO CARACA LTDA. CNPJ: 26.068.130/0003-11.</t>
  </si>
  <si>
    <t xml:space="preserve">Adiantamento referente ao vale cultura para o mensageiro Paulo Vieira.Parceiro (14)Alelo.                                                                                                                                                                      </t>
  </si>
  <si>
    <t xml:space="preserve">Adiantamento referente ao vale alimentação para a nova analista de comunicação Juliana Sarti.Parceiro (14)Alelo.                                                                                                                                               </t>
  </si>
  <si>
    <t xml:space="preserve">Reembolso Realizado pelo cliente devido pagamento em a maior da NF 719.                                                                                                                                                                                        </t>
  </si>
  <si>
    <t xml:space="preserve">Adiantamento referente a compra de suporte para flautas e clarinetes da Orquestra Filarmônica de Minas Gerais.Parceiro(5438)X5 Instrumentos(2385)Mercadopago.                                                                                                  </t>
  </si>
  <si>
    <t xml:space="preserve">Adiantamento referente ao vale transporte para a nova analista de comunicação Juliana Sarti.Parceiro(244)Transfacil.                                                                                                                                           </t>
  </si>
  <si>
    <t>Compra de parafuso para atender demanda para manutenção no setor de operações. Parceiro VC Ltda CNPJ 062.753447.0071.</t>
  </si>
  <si>
    <t xml:space="preserve">INSS UNIFICADO CG 04/2026.                                                                                                                                                                                                                                     </t>
  </si>
  <si>
    <t xml:space="preserve">IR UNIFICADO CG 04/2026.                                                                                                                                                                                                                                       </t>
  </si>
  <si>
    <t xml:space="preserve">PIS retido em guia unificada sobre folha CG 04/2026.                                                                                                                                                                                                           </t>
  </si>
  <si>
    <t>Contratação e matrícula de 5 jovens aprendizes em curso de aprendizagem em escola de ensino social profissionalizante. Competência: Abril/2026</t>
  </si>
  <si>
    <t>Mensalidade de internet banda larga de 600MB para o Instituto Cultural Filarmônica. Houve a troca de operadora pois a VIVO não estava mais fornecendo o sinal de banda larga. Competência: Abril/2026.</t>
  </si>
  <si>
    <t>Mensalidade referente a licença de uso do sistema de gestão Sankhya-W e Licença de Uso da plataforma "Universidade Sankhya" (sistema Sankhya OM - Sistema de Gestão Empresarial Sankhya OM - Competência Maio/2026</t>
  </si>
  <si>
    <t>Mensalidade de medicina e segurança do trabalho (PCMSO).  Competência: Abril</t>
  </si>
  <si>
    <t>Manunteção preventiva e recarga, nos extintores do Instituto Cultural Filarmônica, que serão utilizados nos concertos externos da OFMG.</t>
  </si>
  <si>
    <t>Backup em nuvem, para fins de segurança no caso de haver dano físico ou lógico nos servidores locais. Competência: Junho/2026</t>
  </si>
  <si>
    <t xml:space="preserve">INSS UNIFICADO PA 04/2026.                                                                                                                                                                                                                                     </t>
  </si>
  <si>
    <t xml:space="preserve">IR UNIFICADO PA 04/2026.                                                                                                                                                                                                                                       </t>
  </si>
  <si>
    <t xml:space="preserve">PIS retido em guia unificada sobre folha PA 04/2026.                                                                                                                                                                                                           </t>
  </si>
  <si>
    <t xml:space="preserve">Férias vinicius 05/2026                                                                                                                                                                                                                                        </t>
  </si>
  <si>
    <t>Compra de materiais para manutenção no setor de operações.Parceiro Ferragens Dias CNPJ 01.635.506/0001-30.</t>
  </si>
  <si>
    <t>Aquisição de três transformadores destinados ao sistema de comando das válvulas de ar variável do 2º andar.</t>
  </si>
  <si>
    <t xml:space="preserve">Taxa de Audição - Principal Violino e trompa- inscrições entre 04/05/2026 a 24/05/2026 - (Audição 13 e 14 de junho 2026) - PIX QRS HENRIQUE DOS SANTOS DA SILVA - 21/05.                                                                                       </t>
  </si>
  <si>
    <t>Prestação de serviços pelos correios em 2026. Competência: Abril/2026</t>
  </si>
  <si>
    <t>Compra de frutas para os concertos Presto &amp; Veloce 4 nos dias 21 e 22/05/2026. SUPER VAREJAO CARACA LTDA. CNPJ:26.068.130/0003-11.</t>
  </si>
  <si>
    <t>Compra de suco para a reunião administrativa mensal dos funcionários do ICF.Parceiro DMA Distribuidora S.A CNPJ 01.928.075-0016-86.</t>
  </si>
  <si>
    <t>Contratação da montador Matheus Luiz Ferreira  para complementar a equipe de montagem no concertos Betim, Didáticos 1 e Juventude 2.</t>
  </si>
  <si>
    <t>Intérprete de Libras para concertos da OFMG Temporada 2026, na Sala Minas Gerais e em Praças da RMBH e Turne Estadual. Ref: Concertos Especiais</t>
  </si>
  <si>
    <t>Transporte terrestre para os instrumentos musicais e mobiliário da orquestra na realização dos concertos em Betim no dia 10/05/2026; Parque Ecologico - Pampulha no dia 24/05/2026; Praça da Matriz  - Vespasiano no dia 06/06/2026; Praça da Glória Bairro Eldorado – Contagem no dia 12/07/2026.</t>
  </si>
  <si>
    <t>Contratação de serviço de carro de som para divulgação do concerto de Betim</t>
  </si>
  <si>
    <t>Regulagem de 2 harpas da OFMG, com troca de feltros, realizado pelo técnico Enric de Anciola</t>
  </si>
  <si>
    <t>Cobertura fotográfica de 6 concertos da Temporada 2026 da Orquestra Filarmônica de Minas Gerais. Ref: Allegro/Vivace 3</t>
  </si>
  <si>
    <t>Contratação do serviço de redação, revisão e edição de textos das séries AV e PV da Temporada 2026. Competência: Maio/2026</t>
  </si>
  <si>
    <t>Cobertura fotográfica de 7 concertos da Temporada 2026 da Orquestra Filarmônica de Minas Gerais. Ref: Betim.</t>
  </si>
  <si>
    <t>Hospedagem para a Gerente de Produção Erika Ziller eo Produtor Luis otavio, para acompanha a visita tecnica do concerto da Orquestra Filarmonica De Minas Gerais em São Luis. Erika Ziller  11/05/26 e Check Out: 12/05/26. Check in: Luis Otávio 11/05/26 e Check Out: 12/05/26.</t>
  </si>
  <si>
    <t>Contratação de lanche para 90 pessoas, entre músicos e equipes da OFMG nos concertos da série Turnê Estadual e Praças, nas cidades de Betim no dia 10/05/2026, Vespasiano no dia 06/06/2026, Contagem no dia 12/07/2026.</t>
  </si>
  <si>
    <t>Contratação de serviço de revisão de conteúdos: programas impressos, peças gráficas digitais, e-mails, demais materiais impressos e outros materiais produzidos pelo Departamento de Comunicação. Competência: Maio/2026</t>
  </si>
  <si>
    <t>Prestação de serviços de assessoria jurídica.
Competência: Maio/2026</t>
  </si>
  <si>
    <t>Equipe de limpeza para o Concerto da série Filarmônica  em Betim no dia 10/05/2026. Parque Ecologico - Pampulha no dia 24/05/2026. Praça da Matriz  - Vespasiano no dia 06/06/2026. Praça da Glória Bairro Eldorado – Contagem no dia 12/07/2026.</t>
  </si>
  <si>
    <t>Locação da Praça da Sala Minas Gerais, para realização a realização do evento de corrida “Mater Run”, para público estimado de 2.500 pessoas, sem bilheteria, pela LOCATÁRIA, conforme as seguintes datas, horários e condições:  I – Montagem: 8h às 21h do dia 23/05/2026;  II – Evento: chegada profissionais a partir das 4h30; largada às 7h00 do dia 24/05/2026;  III – Desmontagem: após o evento, até as 22h do dia 24/05/2026.</t>
  </si>
  <si>
    <t xml:space="preserve">Adiantamento referente a a compra de duas cadeiras para os gerentes da Diretoria de Produção e Infraestrutura.Parceiro(2939)Formespaço.                                                                                                                        </t>
  </si>
  <si>
    <t xml:space="preserve">Taxa de Audição - Principal Violino e trompa- inscrições entre 04/05/2026 a 24/05/2026 - (Audição 13 e 14 de junho 2026) - PIX QRS EVANDRO DANIEL DAS NEVES - 22/05.                                                                                           </t>
  </si>
  <si>
    <t xml:space="preserve">Taxa de Audição - Principal Violino e trompa- inscrições entre 04/05/2026 a 24/05/2026 - (Audição 13 e 14 de junho 2026) - PIX QRS DIEGO VIANNA DE MELLO - 22/05.                                                                                              </t>
  </si>
  <si>
    <t xml:space="preserve">Devolução de captação feita 2025.                                                                                                                                                                                                                              </t>
  </si>
  <si>
    <t>Contratação de Christian Munawek, músico de notória qualidade musical, para participação como violoncelista junto à Orquestra Filarmônica de MG, a título de complementação de posições necessárias ao repertório nos concertos Allegro/Vivace 3, a serem realizados nos dias 07 e 08 de maio de 2026, na sala Minas Gerais.</t>
  </si>
  <si>
    <t>Contratação da cantora Mônica Salmaso, solista convidada para os concertos Especial 2, nos dias 30 de abril e 01 de maio, às 20h30, e 02 de maio de 2026, às 18h, na Sala Minas Gerais.</t>
  </si>
  <si>
    <t xml:space="preserve">Adiantamento referente a compra de 20 unidades de fita para piso PVC, para reparos no piso vinílico dos 3 níveis de foyer da Sala Minas Gerais .Parceiro(5427)Supllypack.                                                                                      </t>
  </si>
  <si>
    <t xml:space="preserve">Adiantamento referente a compra de gelatinas para iluminação,destinadas à utilização nos Concertos Didáticos, Juventude e Especiais.Parceiro(5450)Film Center(2385)Magalupay.                                                                                  </t>
  </si>
  <si>
    <t xml:space="preserve">Adiantamento referente a compra de um termostato para chaleira Electrolux para a copa.Parceiro(5451)Refrigeração Help(2385)Magalupay.                                                                                                                          </t>
  </si>
  <si>
    <t xml:space="preserve">Reembolso vacinação Influenza 2026.                                                                                                                                                                                                                            </t>
  </si>
  <si>
    <t>Complemento para reajuste no preço do serviço de Vigilância Patrimonial, em função da Convenção Coletiva de Trabalho, 2026, que fixou, dentre outras coisas, o índice de 7,32% no piso salarial dos vigilantes. Janeiro a dezembro de 2026.</t>
  </si>
  <si>
    <t>Hospedagem para atender a Diretora Zilka Maria Caribé Carlos em viagem a São Paulo nos dias 05 e 06 de maio de 2026. A Sra. Zilka vai acompanhar o Sr. Wilson Brumer nessa viagem para cumprirem agenda de reuniões com possíveis patrocinadores.</t>
  </si>
  <si>
    <t>Recolhimento de direitos autorais, via ECAD, pelo repertório apresentado no Concerto da Praça Milton Campos – Betim.</t>
  </si>
  <si>
    <t xml:space="preserve">Taxa de Audição - Principal Violino e trompa- inscrições entre 04/05/2026 a 24/05/2026 - (Audição 13 e 14 de junho 2026) - PIX QRS GUILHERME CATAO DE ALBUQUERQUE - 25/05.                                                                                     </t>
  </si>
  <si>
    <t xml:space="preserve">Taxa de Audição - Principal Violino e trompa- inscrições entre 04/05/2026 a 24/05/2026 - (Audição 13 e 14 de junho 2026) - PIX QRS NATHALIA SOUSA DE OLIVEIRA - 25/05.                                                                                         </t>
  </si>
  <si>
    <t xml:space="preserve">Taxa de Audição - Principal Violino e trompa- inscrições entre 04/05/2026 a 24/05/2026 - (Audição 13 e 14 de junho 2026) - PIX QRS TASSIO VIEIRA DE JESUS SOUZA - 25/05.                                                                                       </t>
  </si>
  <si>
    <t xml:space="preserve">Taxa de Audição - Principal Violino e trompa- inscrições entre 04/05/2026 a 24/05/2026 - (Audição 13 e 14 de junho 2026) - PIX THAIS DE SOUZA MORAIS - 25/05.                                                                                                  </t>
  </si>
  <si>
    <t xml:space="preserve">Taxa de Audição - Principal Violino e trompa- inscrições entre 04/05/2026 a 24/05/2026 - (Audição 13 e 14 de junho 2026) - PIX ALEXANDRE REIS SANTOS - 25/05.                                                                                                  </t>
  </si>
  <si>
    <t xml:space="preserve">Taxa de Audição - Principal Violino e trompa- inscrições entre 04/05/2026 a 24/05/2026 - (Audição 13 e 14 de junho 2026) - PIX JDIORDY LUCCA CAMARGO SILVA - 25/05.                                                                                            </t>
  </si>
  <si>
    <t xml:space="preserve">Taxa de Audição - Principal Violino e trompa- inscrições entre 04/05/2026 a 24/05/2026 - (Audição 13 e 14 de junho 2026) - PIX GILIEDER JOSADAQUE SILVA VERISSIMO - 25/05.                                                                                     </t>
  </si>
  <si>
    <t xml:space="preserve">Taxa de Audição - Principal Violino e trompa- inscrições entre 04/05/2026 a 24/05/2026 - (Audição 13 e 14 de junho 2026) - PIX MATEUS LISBOA DE FREITAS - 25/05.                                                                                               </t>
  </si>
  <si>
    <t xml:space="preserve">Taxa de Audição - Principal Violino e trompa- inscrições entre 04/05/2026 a 24/05/2026 - (Audição 13 e 14 de junho 2026) - PIX GERSON PIEROTTI - 25/05.                                                                                                        </t>
  </si>
  <si>
    <t xml:space="preserve">Taxa de Audição - Principal Violino e trompa- inscrições entre 04/05/2026 a 24/05/2026 - (Audição 13 e 14 de junho 2026) - PIX DIEGO ADINOLFI VIEIRA - 25/05.                                                                                                  </t>
  </si>
  <si>
    <t xml:space="preserve">Taxa de Audição - Principal Violino e trompa- inscrições entre 04/05/2026 a 24/05/2026 - (Audição 13 e 14 de junho 2026) - PIX ADRIANO VENANCIO DA SILVA - 25/05.                                                                                              </t>
  </si>
  <si>
    <t xml:space="preserve">Taxa de Audição - Principal Violino e trompa- inscrições entre 04/05/2026 a 24/05/2026 - (Audição 13 e 14 de junho 2026) - PIX DANIEL SOARES DA SILVA - 25/05.                                                                                                 </t>
  </si>
  <si>
    <t xml:space="preserve">Taxa de Audição - Principal Violino e trompa- inscrições entre 04/05/2026 a 24/05/2026 - (Audição 13 e 14 de junho 2026) - PIX GABRIEL PEREIRA DA SILVA - 25/05.                                                                                               </t>
  </si>
  <si>
    <t>Contratação de um técnico para elaboração do Laudo de Periculosidade e Insalubridade referente aos limites de tolerância mensurados,  referente aos cargos de Técnico de Iluminação e Áudio / Técnico Áudio e Iluminação.</t>
  </si>
  <si>
    <t>Aquisição de kit para medição de acidez, destinado à verificação do nível de acidez do óleo do compressor do chiller 02, localizado na central de água gelada (sistema de ar-condicionado) da Sala Minas Gerais.</t>
  </si>
  <si>
    <t>Compra de frutas para atender ao camarim no Concerto Camara 2 no dia 26/05/2026. SUPER VAREJAO CARACA LTDA. CNPJ: 26.068.130/0003-11.</t>
  </si>
  <si>
    <t>Compra de refrigerantes para atender ao camarim no Concerto Camara 2 no dia 26/05/2026. DMA DISTRIBUIDORA CNPJ: 01.928.075-0016-86.</t>
  </si>
  <si>
    <t>Suporte de horas técnicas referente apoio/Configuração 
MGE Pessoal</t>
  </si>
  <si>
    <t>Confecção de 500 capas para encosto das cadeiras utilizadas nos concertos externos. As capas são para divulgar a campanha Amigos da Filarmônica.</t>
  </si>
  <si>
    <t xml:space="preserve">Depósito judicial referente ao IOF sobre aplicação financeira, competência Abril/2026 - conta 00267-9 (fundos 201).
Número do processo: 00100438120174013800
                                                                                                  </t>
  </si>
  <si>
    <t xml:space="preserve">Férias Livia 05/2026                                                                                                                                                                                                                                           </t>
  </si>
  <si>
    <t xml:space="preserve">Adiantamento referente ao vale transporte mensal para os funcionários do ICF, que utilizam o tranporte pelo sistema Transfacil.Competência: Junho/2025.Parceiro(244)Transfacil.                                                                                </t>
  </si>
  <si>
    <t xml:space="preserve">Adiantamento referente ao vale refeição mensal para os funcionários do ICF. Competência: Junho/2026.Parceiro(14)Alelo.                                                                                                                                         </t>
  </si>
  <si>
    <t xml:space="preserve">Adiantamento referente ao vale alimentação mensal para os funcionários do ICF. Competência: Junho/2026.Parceiro(14)Alelo.                                                                                                                                      </t>
  </si>
  <si>
    <t xml:space="preserve">Adiantamento referente ao vale cultura mensal para os funcionários do ICF. Competência: Junho/2026.Parceiro(14)Alelo.                                                                                                                                          </t>
  </si>
  <si>
    <t xml:space="preserve">Adiantamento referente ao vale transporte mensal para funcionários que utilizam o transporte pelo sistema DER. Competência: Junho/2026.Parceiro(245)Consorcio Otimo.                                                                                           </t>
  </si>
  <si>
    <t>Solicito diária de viagem para atender a Sra. Zilka Maria Caribé Carlos que irá acompanhar o Sr. Wilson Brumer em viagem ao Rio de Janeiro no dia 18/05/2026 para cumprir agenda de reuniões com possíveis patrocinadores.</t>
  </si>
  <si>
    <t>Solicito diária de viagem para atender o Sr. Wilson Nélio Brumer em viagem ao Rio de Janeiro no dia 18/05/2026 para cumprir agenda de reuniões com possíveis patrocinadores.</t>
  </si>
  <si>
    <t>Link dedicado responsavel pela transmissão da Filarmonica digital e backup dos links de internet. Competência: Maio/2026.</t>
  </si>
  <si>
    <t>Contratação de produtor freelancer para auxiliar a equipe de produção da OFMG, no concerto Turnê 1 na cidade de Betim no dia 10/05/2026.</t>
  </si>
  <si>
    <t>Fornecimento de lanche para a equipe de 65 voluntarios dos concertos Didaticos I, Didaticos II, Didaticos III, Didaticos IV e Didaticos V realizados na Sala Minas Gerais, no dia 14/05/2026.</t>
  </si>
  <si>
    <t>Contratação de serviço temporário para auxiliar nas tarefas do marketing referentes à aprovação de marcas das peças gráficas impressas e digitais e relacionmento com os patrocinadores. Competência: Maio/2026</t>
  </si>
  <si>
    <t>Contratação da montador Otniel Lopes para complementar a equipe de montagem nos concertos Didáticos 1 / Juventude 2</t>
  </si>
  <si>
    <t>Compra de 10 porta-cartaz para avisos diversos em Unifilas, e compra de 10 kits de encaixe macho de fita de Unifila para substituição de encaixes danificados</t>
  </si>
  <si>
    <t>Compra de 25 unifilas e 15 kits de parede para controle do público durante as apresentações na Sala Minas Gerais</t>
  </si>
  <si>
    <t>Receita bruta da bilheteria do concerto PRESTO 4, realizado no dia 21/05/2026 na Sala Minas Gerais.</t>
  </si>
  <si>
    <t>Receita bruta da bilheteria do concerto VELOCE 04, realizado no dia 22/05/2026 na Sala Minas Gerais.</t>
  </si>
  <si>
    <t>Compra de materiais para manutenção no setor de operações.Parceiro Ferragens Dias CNPJ 01.635.506-00001-30.</t>
  </si>
  <si>
    <t>Complemento referente à prorrogação do contrato vinculado ao Pedido Único nº 71900, para atendimento das demandas relacionadas ao período de captação de recursos do Programa Amigos da Filarmônica e da Campanha de Assinaturas, incluindo apoio ao atendimento telefônico e presencial, bem como à montagem dos kits da Temporada 2026.</t>
  </si>
  <si>
    <t>Serviço de conservação e limpeza. Contrato referente aos meses de Janeiro a Dezembro de 2026. Competência: abril/2026</t>
  </si>
  <si>
    <t>Locação de 1 NO-BREAK'S para serem utilizados nas trasmissões online dos concertos. Competência: Maio/2026.</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</si>
  <si>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Abril/2026</t>
  </si>
  <si>
    <t>Locação de sinalização de trânsito, para atender os concertos Didáticos da OFMG nos dias 13 a 15/05/26, na Sala Minas Gerais.</t>
  </si>
  <si>
    <t>Contratação do serviço de direção de imagens para 16 concertos da orquestra Filarmônica de Minas Gerais, com transmissão ao vivo, durante a temporada 2026. Ref: Juventude 2</t>
  </si>
  <si>
    <t>Contratação de prestação de serviços especializados de assessoramento na organização da primeira edição dos Concertos Didáticos em 2026 (13 e 14/05/2026, às 9h30 e às 14h30, e 15/05/2026, às 20h, na Sala Minas Gerais) e produção de relatórios de execução.</t>
  </si>
  <si>
    <t>Contratação do serviço de operação audiovisual para 16 concertos da orquestra Filarmônica de Minas Gerais, com transmissão ao vivo, durante a temporada 2026. Ref: Juventude 2</t>
  </si>
  <si>
    <t>Locação de tenda para o público do concerto em Betim no dia 10/05/2026; Parque Ecologico - Pampulha no dia 24/05/2026; Praça da Glória Bairro Eldorado – Contagem no dia 12/07/2026.</t>
  </si>
  <si>
    <t>Cobertura fotográfica de 6 concertos da Temporada 2026 da Orquestra Filarmônica de Minas Gerais. Ref: Didáticos - Maio</t>
  </si>
  <si>
    <t>Contratação da soprano Maria Carla Pino Cury, solista convidada para o concerto Fora de Série 2 para interpretar árias de Mozart, no dia 25 de de abril de 2026, às 18h, na Sala Minas Gerais.</t>
  </si>
  <si>
    <t>Hospedagem para Leonardo Caire, musicista de notória qualidade musical, para participação como percussionista junto à Orquestra Filarmônica de MG, a título de complementação de posições necessárias ao repertório nos concertos Allegro/Vivace 3, a serem realizados nos dias 07 e 08/05/2026 na sala Minas Gerais.</t>
  </si>
  <si>
    <t>Locação de palco para os concertos externos da Temporada 2026. o parceiro foi selecionado por meio do Ato Convocatório nº 04/2026, conforme os critérios estabelecidos no referido edital. Ref: Concerto Betim</t>
  </si>
  <si>
    <t>Transporte terrestre para transporte de materiais de publicidade do Patrocinador Petrobras na realização dos concertos em Betim no dia 10/05/2026.</t>
  </si>
  <si>
    <t>Aluguel de partituras para os concertos Allegro II e Vivace II ( 9 e 10 de abril). Obra: Villa-Lobos - Izaht. Regente: José Soares.</t>
  </si>
  <si>
    <t>Aluguel de partituras para o Especial III (30 de abril, 01 e 02 de maio). Villa-Lobos - Bachianas Brasileiras n.4 (Cantiga). Regente: José Soares.</t>
  </si>
  <si>
    <t>Hospedagem para Christian Munawek, musicista de notória qualidade musical, para participação como violoncelista junto à Orquestra Filarmônica de MG, a título de complementação de posições necessárias ao repertório nos concertos Allegro/Vivace 3, a serem realizados nos dias 07 e 08/05/2026 na sala Minas Gerais.</t>
  </si>
  <si>
    <t>Contratação de assessoria contábil. Competência: Maio/2026</t>
  </si>
  <si>
    <t>Prêmio do seguro de vida para os funcionários do Instituto, no período de 01/05/2025 a 01/05/2026. Competência: abril/2026</t>
  </si>
  <si>
    <t>Compra de frutas para o concerto Fora de Série 3 no dia 30/05/2026. SUPER VAREJAO CARACA LTDA. CNPJ:26.068.130/0003-11.</t>
  </si>
  <si>
    <t xml:space="preserve">Depósito de caucao referente a locação da Sala de Concertos, Sala Multiuso, Foyers do 1° e 2° Pavimento e Praça da Sala Minas Gerais, para realização de evento Mining Hub para
realização no dia 02/06/2026.                                                  </t>
  </si>
  <si>
    <t>Locação da Sala de Concertos, Sala Multiuso, Foyers do 1° e 2° Pavimento e Praça da Sala Minas Gerais, para realização de evento Mining Hub para
realização no dia 02/06/2026.</t>
  </si>
  <si>
    <t>Cobertura fotográfica de 6 concertos da Temporada 2026 da Orquestra Filarmônica de Minas Gerais. Ref: Juventude 2</t>
  </si>
  <si>
    <t>Captação de áudio para 16 transmissões ao vivo de concertos da Temporada 2026 da Orquestra Filarmônica de Minas Gerais. Ref: Juventude 2</t>
  </si>
  <si>
    <t xml:space="preserve">Repasse Aporte Projeto Estadual - USINAS SIDERURGICAS DE MINAS GERAIS S/A. USIMINAS 60.894.730/0001-05                                                                                                                                                         </t>
  </si>
  <si>
    <t xml:space="preserve">Rendimento aplicação financeira Maio/2026.                                                                                                                                                                                                                     </t>
  </si>
  <si>
    <t xml:space="preserve">IR Rendimento aplicação Maio/2026.                                                                                                                                                                                                                             </t>
  </si>
  <si>
    <t xml:space="preserve">IOF Rendimento aplicação financeira Maio/2026.                                                                                                                                                                                                                 </t>
  </si>
  <si>
    <t xml:space="preserve">IR rendimento apllicação financeira do mes de Maio/2026.                                                                                                                                                                                                       </t>
  </si>
  <si>
    <t xml:space="preserve">IR rendimento apllicação financeira PLANO ANUAL 2026 mes de Maio/2026.                                                                                                                                                                                         </t>
  </si>
  <si>
    <t xml:space="preserve">Rendimento aplicação financeira conta movimento referente ao mês de Maio/2026.                                                                                                                                                                                 </t>
  </si>
  <si>
    <t>Transferência de rendimentos de aplicação financeira mês abril/2026 para conta reserva</t>
  </si>
  <si>
    <t>00879-1 - Captação Estadual</t>
  </si>
  <si>
    <t>Transferência de rendimento de aplicação financeira para Conta Reserva. Referencia: 04/02026</t>
  </si>
  <si>
    <t>Pacotes de café para o uso dos funcionários do ICF.</t>
  </si>
  <si>
    <t>Compra de refrigerantes e sucos para atender a reunião mensal dos funcionários. DMA DISTRIBUIDORA SA. CNPJ: 01.928.075/0016-86.</t>
  </si>
  <si>
    <t>Transporte de partituras - Temporada 2026</t>
  </si>
  <si>
    <t>SUPER VAREJAO CARACA LTDA</t>
  </si>
  <si>
    <t>26.068.130/0003-11</t>
  </si>
  <si>
    <t>DMA DISTRIBUIDORA SA</t>
  </si>
  <si>
    <t>01.928.075/0016-86</t>
  </si>
  <si>
    <t>Compra de chip para o celular da Gerencia de Orquestra.Parceiro Telefonica Brasil CNPJ 02.558.157/0463-16.</t>
  </si>
  <si>
    <t>Ferragens Dias Ltda</t>
  </si>
  <si>
    <t>01.635.506/0001-30</t>
  </si>
  <si>
    <t>SETOR INFO COMERCIO E INFORMATICA LTDA</t>
  </si>
  <si>
    <t>31.674.527/0001-25</t>
  </si>
  <si>
    <t>DISTRIBUIDORA E EMBALAGENS CORREA LTDA</t>
  </si>
  <si>
    <t>01.156.234/0001-95</t>
  </si>
  <si>
    <t>LIDER MINEIRO COM ALIMENTOS LTDA</t>
  </si>
  <si>
    <t>07.278.874/0001-54</t>
  </si>
  <si>
    <t>00.786.960/0001-29</t>
  </si>
  <si>
    <t>Sindicato dos Trabalhadores em Entidades Culturais</t>
  </si>
  <si>
    <t>EQUIPE CELULARES ASSISTENCIA E MANUTENCAO</t>
  </si>
  <si>
    <t>44.964.774/0001-08</t>
  </si>
  <si>
    <t>COMERCIO FG LTDA</t>
  </si>
  <si>
    <t>02.968.810/0001-61</t>
  </si>
  <si>
    <t>KALUNGA SA</t>
  </si>
  <si>
    <t>43.283.811/0123-28</t>
  </si>
  <si>
    <t xml:space="preserve">Paulo Cesar Vieira da Silva </t>
  </si>
  <si>
    <t>Org Brazalmeida</t>
  </si>
  <si>
    <t>22.300.487-0019-90</t>
  </si>
  <si>
    <t>Kalunga</t>
  </si>
  <si>
    <t>43.283.811/0034-18</t>
  </si>
  <si>
    <t>NBH PEREIRA MANG E CONEXOES HIDRAUL LTDA</t>
  </si>
  <si>
    <t>28.662.734-0001.55</t>
  </si>
  <si>
    <t>Graziano de Carvalho</t>
  </si>
  <si>
    <t>Telefonica Brasil</t>
  </si>
  <si>
    <t>02.558.157/0463-16</t>
  </si>
  <si>
    <t>VC Ltda</t>
  </si>
  <si>
    <t>Serviços de Consertos em Maquinas Ltda</t>
  </si>
  <si>
    <t>PCELL ELETRÔNICOS EM GERAL</t>
  </si>
  <si>
    <t>EQUIPE CELULARES</t>
  </si>
  <si>
    <t>Impressões digitais para diretoria administrativa financeira.Parceiro PAQ Serviços de ConseRtos em Maquinas Ltda.</t>
  </si>
  <si>
    <t>ISS sobre Prestação mensal referente à contratação do regente associado José Soares. Competência: Fevereiro/2026</t>
  </si>
  <si>
    <t>ISS sobre Prestação mensal referente a serviços de regente titular e Direção Artistica da Orquestra Filarmônica de Minas Gerais pelo Maestro Fábio Mechetti. Competência: fevereiro/2026</t>
  </si>
  <si>
    <t>ISS sobre Renovação contratual anual da licença de uso do software de Ponto Eletrônico. Competência: Março/2026</t>
  </si>
  <si>
    <t>ISS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Fevereiro/2026</t>
  </si>
  <si>
    <t>ISS sobre Prestação de serviços de receptivo referente aos Concertos da Orquestra Filarmônica, na Sala Minas Gerais em Praças da RMBH e Turne Estadual, para  Temporada 2026.</t>
  </si>
  <si>
    <t>ISS sobre Pedido complementar ao pedido 73756 - adesivação das duas placas do foyer da Sala Minas Gerais, sendo elas: placa com texto sobre missão, visão e valoresa do ICF; e placa de agradecimento aos patrocinadores e parceiros.</t>
  </si>
  <si>
    <t>ISS sobre Serviço de clipagem diária e análise de mídia dos principais veículos impressos (jornais e revistas), digitais, rádios e TVs, com foco na Orquestra Filarmônica de Minas Gerais e no setor cultural. Competência: Março/2026</t>
  </si>
  <si>
    <t>ISS sobre Mensalidade contratual para o serviço de suporte em TI. Competência: Fevereiro/2026</t>
  </si>
  <si>
    <t>ISS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Fevereiro/2026</t>
  </si>
  <si>
    <t>ISS sobre Hospedagem para o engenheiro de som Ulrich Schneider, técnico de som Márcio Torres e compositora Marisa Resende entre os dias 17/02/2026 e 22/02/2026 para a gravação das obras da compositora Marisa Resende na Sala Minas Gerais. O período compreende chegada do equipamento, montagem, gravação, desmontagem e embarque do equipamento.</t>
  </si>
  <si>
    <t>ISS sobre Atendentes no período de captação de recursos do Programa Amigos da Filarmônica e Campanha de Assinaturas, para apoio no atendimento telefônico e presencial, bem como na montagem dos kits da Temporada 2026. Competência: Fevereiro/2026.</t>
  </si>
  <si>
    <t>ISS sobre Horas técnicas de TI na manutenção dos computadores do ICF, (Backups, instalação de softwares, configuração de roteadores, formatação de máquinas, dentre outros.</t>
  </si>
  <si>
    <t>ISS sobre Serviço de impressão de dois banners roll-up com estruturas novas, para cumprir a contrapartida de patrocínio da Petrobras.</t>
  </si>
  <si>
    <t>ISS sobre Pedido complementar ao pedido 74102 – Reimpressão e instalação do banner 1 das caixas retroiluminadas da fachada frontal da Sala Minas Gerais. A demanda visa o ajuste do layout da lona para otimizar a legibilidade da menção ao Ministério da Cultura.</t>
  </si>
  <si>
    <t>ISS sobre Contratação do serviço de impressão e instalação dos banners das caixas retroiluminadas que ficam na fachada frontal da Sala Minas Gerais. Serão 6 banners em lona backlight 2,93 x 0,93 - 4x0 cores.</t>
  </si>
  <si>
    <t>ISS sobre Contratação de transporte executivo para atendimento a solistas e regentes convidados.
Competência: Fevereiro/2026</t>
  </si>
  <si>
    <t>ISS sobre Vale transporte para a nova Funcionara Lara Pereira.</t>
  </si>
  <si>
    <t>ISS sobre Impressão de 1.000 unidades de cartão de visita do Diretor Presidente do ICF, Wilson Brumer.</t>
  </si>
  <si>
    <t>ISS sobre Entrega de kit de assinatura e amigos da Filarmônica. E também entrega de kits para patrocinadores. As entregas serão realizadas no período de 27/01  a 01/03/2026</t>
  </si>
  <si>
    <t>ISS sobre Serviço de distribuição do Guia de Bolso da temporada 2026, em pontos estratégicos da cidade de Belo Horizonte.</t>
  </si>
  <si>
    <t>ISS sobre Serviço para a recuperação de arquivos antigos que ainda estão no site antigo da Filarmônica, e transferência para o novo servidor.</t>
  </si>
  <si>
    <t>ISS sobre Vale transporte para a novo Mensageiro Paulo.</t>
  </si>
  <si>
    <t>ISS sobre Serviços de vigilância externa atraves de câmeras de monitoramento. Competência: Março/2026.</t>
  </si>
  <si>
    <t>ISS sobre Hospedagem para Franklin Martins, musicista de notória qualidade musical, para participação como violoncelista junto à Orquestra Filarmônica de MG, a título de complementação de posições necessárias ao repertório nos concertos Allegro/Vivace 1, a serem realizados nos dias 12 e 13/03/2026 na sala Minas Gerais.</t>
  </si>
  <si>
    <t>ISS sobre Hospedagem para Leonardo Caire, musicista de notória qualidade musical, para participação como percussionista junto à Orquestra Filarmônica de MG, a título de complementação de posições necessárias ao repertório nos concertos Allegro/Vivace 1, a serem realizados nos dias 12 e 13/03/2026 na sala Minas Gerais.</t>
  </si>
  <si>
    <t>ISS sobre Contratação de assessoria contábil. Competência: Março/2026</t>
  </si>
  <si>
    <t>ISS sobre Prestação de serviços de assessoria jurídica.
Competência: Fevereiro/2026</t>
  </si>
  <si>
    <t>ISS sobre Reparo na bateria usada na máquina de ponto usada pela orquestra, em substituição a bateria anterior no limite da vida útil.</t>
  </si>
  <si>
    <t>ISS sobre Confecção de apostilas para a disciplina de Percepção Musical V da Academia Filarmônica</t>
  </si>
  <si>
    <t>ISS sobre Taxa de recadastramento de cartão antigos para serem utilizados por novos funcionários. COnsorcio Operacional do Transporte Coletivo de Passageiros por onibus do municipio de belo horizonte. CNPJ: 04.398.505/0001-07</t>
  </si>
  <si>
    <t>ISS sobre Serviço de gerenciamento de bilheteria e controle de acesso para a Temporada 2025 (gestão online e bilheteria física). Competência: Fevereiro/2026</t>
  </si>
  <si>
    <t>ISS sobre Hospedagem para a pianista Natasha Paremski, solista convidada dos concertos Presto e Veloce 1, nos dias 05 e 06/03/2026, às 20h30, na Sala Minas Gerais.</t>
  </si>
  <si>
    <t>ISS sobre Hospedagem para a compositora Marisa Resende entre os dias 11/03/2026 e 14/03/2026 para os concertos Allegro e Vivace 1, que acontecerão nos dias 12 e 13/03/2026, às 20h30, na Sala Minas Gerais. A Orquestra executará Avessia, uma das obras da compositora.</t>
  </si>
  <si>
    <t>ISS sobre Confecção de 50 unidades do Book publicitário dos projetos da Orquestra Filarmônica de minas Gerais, com a finalidade de ser um instrumento para a captação de novos patrocínios, apoiadores e parceiros.</t>
  </si>
  <si>
    <t>ISS sobre Encomenda de arranjos para o Especial II - 30 de abril e 01 de maio. Obras: Milton Nascimento: Noites do Sertão, Terceira Margem do Rio, Cais, Paula e Bebeto e Maria Solidária. Arranjador: Nelson Ayres. Regente: José Soares. Solista: Monica Salmaso.</t>
  </si>
  <si>
    <t>ISS sobre Impressões digitais para diretoria administrativa financeira.</t>
  </si>
  <si>
    <t>ISS sobre Plano de saúde corporativo com abrangência nacional. Competência: Abril/2026</t>
  </si>
  <si>
    <t>ISS sobre Emcomenda de arranjo para o Especial 2 (30 de abril e 01 de maio). Arranjador: Tiago Costa. Obras: Milton Nascimento - Credo e Maria Maria. Regente: José Soares.</t>
  </si>
  <si>
    <t>ISS sobre Contratação do serviço de direção de imagens para 16 concertos da orquestra Filarmônica de Minas Gerais, com transmissão ao vivo, durante a temporada 2026. Ref: Juventude 1</t>
  </si>
  <si>
    <t>ISS sobre Desenvolvimento do parecer socioeconômico, após avaliação da documentação enviada pelo bolsista Valeria Prata.</t>
  </si>
  <si>
    <t>ISS sobre Contratação de Leonardo Caire, músico de notória qualidade musical, para participação como percussionista junto à Orquestra Filarmônica de MG, a título de complementação de posições necessárias ao repertório nos concertos Allegro/Vivace 1, a serem realizados nos dias 12 e 13 de março de 2026, na sala Minas Gerais.</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</si>
  <si>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Fevereiro/2026</t>
  </si>
  <si>
    <t>ISS sobre Captação de áudio para 16 transmissões ao vivo de concertos da Temporada 2026 da Orquestra Filarmônica de Minas Gerais. Ref: Juventude 1</t>
  </si>
  <si>
    <t>ISS sobre Backup em nuvem, para fins de segurança no caso de haver dano físico ou lógico nos servidores locais. Competência: Março/2026</t>
  </si>
  <si>
    <t>ISS sobre Vale transporte mensal para funcionários que utilizam o transporte pelo sistema DER. Competência: Abril/2026</t>
  </si>
  <si>
    <t>ISS sobre Impressões para atender a reunião do conselho e associados.Empresa:PAQ Serviços CPNJ:06.946.804/0001-64.</t>
  </si>
  <si>
    <t>ISS sobre Serviço de manutenção preventiva/corretiva dos 10 elevadores do predio da Sala Minas Gerais. Competência: Fevereiro/2026.</t>
  </si>
  <si>
    <t>ISS sobre Vale transporte mensal para os funcionários do ICF, que utilizam o tranporte pelo sistema Transfacil. Competência: Abril/2025</t>
  </si>
  <si>
    <t>ISS sobre Mensalidade de medicina e segurança do trabalho (PCMSO). Competência: Fevereiro</t>
  </si>
  <si>
    <t>ISS sobre Mensalidade de medicina e segurança do trabalho (PPRA). Competência: Fevereiro</t>
  </si>
  <si>
    <t>ISS sobre Contratação de Brigadistas para atender o licenciamento exigidos pelo Corpo de Bombeiros para acompanhamento dos Concertos da Orquestra Filarmônica, na Sala Minas Gerais em Praças da RMBH e Turne Estadual. para  Temporada 2026.</t>
  </si>
  <si>
    <t>ISS sobre Hospedagem entre os dias 26 e 28 de fevereiro de 2026 para a profissional Maren Gehrts, que fará a manutenção e afinação no cravo da OFMG.</t>
  </si>
  <si>
    <t>ISS sobre Serviço de conservação e limpeza. Contrato referente aos meses de Janeiro a Dezembro de 2026. Competência: fevereiro/2026</t>
  </si>
  <si>
    <t xml:space="preserve">ISS sobre Complementação de despesa decorrente a divergência na base de cálculo do ISSQN aplicada pelo prestador na emissão da NF 703 .                                                                                                                                  </t>
  </si>
  <si>
    <t>ISS sobre Contratação do flautista Anthony Trionfo como solista convidado nos concertos Presto e Veloce 2, nos dias 26 e 27/03/2026, às 20h30, na Sala Minas Gerais.</t>
  </si>
  <si>
    <t>ISS sobre Contratação do maestro Vincent de Kort como regente convidado nos concertos Presto e Veloce 2, nos dias 26 e 27/03/2026, às 20h30, na Sala Minas Gerais.</t>
  </si>
  <si>
    <t>ISS sobre Prestação mensal referente à contratação do regente associado José Soares. Competência: Março/2026</t>
  </si>
  <si>
    <t>ISS sobre Prestação mensal referente a serviços de regente titular e Direção Artistica da Orquestra Filarmônica de Minas Gerais pelo Maestro Fábio Mechetti. Competência: março/2026</t>
  </si>
  <si>
    <t>ISS sobre Contratação de transporte executivo para atendimento a solistas e regentes convidados.
Competência: Março/2026</t>
  </si>
  <si>
    <t>ISS sobre Mensalidade contratual para o serviço de suporte em TI. Competência: Março/2026</t>
  </si>
  <si>
    <t>ISS sobre Cobertura fotográfica de 6 concertos da Temporada 2026 da Orquestra Filarmônica de Minas Gerais. Ref: Presto/Veloce 2</t>
  </si>
  <si>
    <t>ISS sobre Serviço de assessoria de imprensa para produção de releases, acompanhamento presencial de imprensa, suporte à diretoria de Comunicação, articulação de pautas, visitas aos principais veículos de comunicação, além de outras funções descritas no ANEXO I do contrato original. Competência: Abril/2026</t>
  </si>
  <si>
    <t>ISS sobre Serviço de clipagem diária e análise de mídia dos principais veículos impressos (jornais e revistas), digitais, rádios e TVs, com foco na Orquestra Filarmônica de Minas Gerais e no setor cultural. Competência: Abril/2026</t>
  </si>
  <si>
    <t>ISS sobre Intérprete de Libras para concertos da OFMG Temporada 2026, na Sala Minas Gerais e em Praças da RMBH e Turne Estadual. Ref: Câmara</t>
  </si>
  <si>
    <t>ISS sobre Hospedagem para o regente Vincent de Kort, solista convidado dos concertos Presto e Veloce 2, realizados na Sala Minas Gerais nos dias 26 e 27 de março de 2026, às 20h30.</t>
  </si>
  <si>
    <t>ISS sobre Mensalidade de assessoria administrativa-financeira para a gestão dos projetos aprovados nos mecanismos de incentivo fiscal para a manutenção e realização das Temporadas 2025 e 2026 da Orquestra Filarmônica de Minas Gerais. Competência: Fevereiro/2026.</t>
  </si>
  <si>
    <t>ISS sobre Mensalidade de assessoria administrativa-financeira para a gestão dos projetos aprovados nos mecanismos de incentivo fiscal para a manutenção e realização das Temporadas 2025 e 2026 da Orquestra Filarmônica de Minas Gerais. Referente aos meses de maio/2025 a abril/2026. Competência: Março/2026.</t>
  </si>
  <si>
    <t>ISS sobre Contratação de assessoria contábil. Competência: Abril/2026</t>
  </si>
  <si>
    <t>ISS sobre Serviço de conservação e limpeza. Contrato referente aos meses de Janeiro a Dezembro de 2026. Competência: março/2026</t>
  </si>
  <si>
    <t>ISS sobre Serviço de gerenciamento de bilheteria e controle de acesso para a Temporada 2025 (gestão online e bilheteria física). Competência: Março/2026</t>
  </si>
  <si>
    <t>ISS sobre Hospedagem para o flautista Anthony Trionfo, solista convidado dos concertos Presto e Veloce 2, nos dias 26 e 27/03/2026, às 20h30, na Sala Minas Gerais.</t>
  </si>
  <si>
    <t>ISS sobre Hospedagem para a pianista Sonia Rubinsky, solista convidada dos concertos Allegro e Vivace 2, realizados nos dias 09 e 10 de abril de 2026, às 20h30, na Sala Minas Gerais.</t>
  </si>
  <si>
    <t>ISS sobre Contratação da pianista Sonia Rubinsky como solista convidada nos concertos Allegro e Vivace 2, nos dias 09 e 10/04/2026, às 20h30, na Sala Minas Gerais.</t>
  </si>
  <si>
    <t>ISS sobre Prestação de serviços de assessoria jurídica.
Competência: Março/2026</t>
  </si>
  <si>
    <t>ISS sobre Serviços de vigilância externa atraves de câmeras de monitoramento. Competência: Abril/2026.</t>
  </si>
  <si>
    <t>ISS sobre Impressão de 4 cartazes para outdoor, para divulgação do concerto Turnê Estadual - Betim.</t>
  </si>
  <si>
    <t>ISS sobre Mensalidade contratual para o serviço de suporte em TI durante aos concertos com transmissão ao vivo durante o ano de 2026. Ref: Juventude 1</t>
  </si>
  <si>
    <t>ISS sobre Contratação do ator Chico Pelúcio, convidado para a ópera "O Segredo de Susanna", de Wolf-Ferrari, nos concertos Presto e Veloce 3, nos dias 16 e 17 de abril de 2026, às 20h30, na Sala Minas Gerais.</t>
  </si>
  <si>
    <t>ISS sobre Contratação de JOSE HENRIQUE SOARES VIANA, musicista de notória qualidade musical, para participação como percussionista junto à Orquestra Filarmônica de MG, a título de complementação de posições necessárias ao repertório nos concertos Allegro/Vivace 1, no período de 12/03/2026 a 13/03/2026, na sala Minas Gerais.</t>
  </si>
  <si>
    <t>ISS sobre Hospedagem para o diretor artístico Jorge Takla, para a soprano Raquel Paulin e para o barítono Lício Bruno, solistas convidados dos concertos Presto e Veloce 3, realizados nos dias 16 e 17 de abril de 2026, às 20h30, na Sala Minas Gerais.</t>
  </si>
  <si>
    <t>ISS sobre Cobertura fotográfica de 6 concertos da Temporada 2026 da Orquestra Filarmônica de Minas Gerais. Ref: Presto/Veloce 3</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</si>
  <si>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Março/2026</t>
  </si>
  <si>
    <t>ISS sobre Cobertura fotográfica de 6 concertos da Temporada 2026 da Orquestra Filarmônica de Minas Gerais. Ref: Câmara 1</t>
  </si>
  <si>
    <t>ISS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Março/2026</t>
  </si>
  <si>
    <t>ISS sobre Impressão de três cartazes para colocar nas estruturas de acrílico do foyer. Os cartazes são para divulgar a campanha de Assinaturas - segunda chance.</t>
  </si>
  <si>
    <t>ISS sobre Contratação de serviço de 02 carregadores para mudança de sala do setor de produção/operações na Sala Minas Gerais, no dia 18/03/026.</t>
  </si>
  <si>
    <t>ISS sobre Renovação contratual anual da licença de uso do software de Ponto Eletrônico. Competência: Abril/2026</t>
  </si>
  <si>
    <t>ISS sobre Certificado digital e-cnpj A1 para o ICF para o periodo de um ano e 2 certificados A3 e-cnpj para o setor de RH e contabil no periodo de 2 anos.</t>
  </si>
  <si>
    <t>ISS sobre Atendentes no período de captação de recursos do Programa Amigos da Filarmônica e Campanha de Assinaturas, para apoio no atendimento telefônico e presencial, bem como na montagem dos kits da Temporada 2026. Competência: Março/2026.</t>
  </si>
  <si>
    <t>ISS sobre Impressão de cartões de visitas para o Diretor Pedro Gattoni.</t>
  </si>
  <si>
    <t>ISS sobre Fornecimento de 5 vídeos brutos gravados no ano de 2025, para compor um banco de dados para serem utilizados em material promocional da Sala Minas Gerais e da Orquestra Filarmônica de Minas Gerais. Os vídeos foram gravados durante concertos na Sala Minas Gerais.</t>
  </si>
  <si>
    <t>ISS sobre Mensalidade de medicina e segurança do trabalho (PCMSO). Competência: Março</t>
  </si>
  <si>
    <t>ISS sobre Mensalidade de medicina e segurança do trabalho (PPRA). Competência: Março</t>
  </si>
  <si>
    <t>ISS sobre Serviço de manutenção preventiva/corretiva dos 10 elevadores do predio da Sala Minas Gerais. Competência: Março/2026.</t>
  </si>
  <si>
    <t>ISS sobre Contratação temporaria de 01 contrarregra no concerto Presto e Veloce 3  ( Opera Semi-encenada – O segredo de Suzana e o Telefone )  da Orquestra Filarmônica de MG entre os dias 13 a 17/04 na Sala Minas Gerais.</t>
  </si>
  <si>
    <t>ISS sobre Contratação de Serviços de 01 camareira para o ensaio e concertos Presto e Veloce 3  ( Opera Semi-encenada – O segredo de Suzana e o Telefone )  da Orquestra Filarmônica de MG entre os dias 15, 16, 17/04/2026.</t>
  </si>
  <si>
    <t>ISS sobre Plano de saúde corporativo com abrangência nacional. Competência: Maio/2026</t>
  </si>
  <si>
    <t>ISS sobre Impressão de 50 crachás para a 1ª Edição dos Concertos Didáticos de 2026, para uso dos monitores nas Oficinas de Monitoria e da equipe de voluntários que irá atuar na recepção do público nos concertos da edição, na Sala Minas Gerais.</t>
  </si>
  <si>
    <t>ISS sobre Backup em nuvem, para fins de segurança no caso de haver dano físico ou lógico nos servidores locais. Competência: Maio/2026</t>
  </si>
  <si>
    <t>ISS sobre Vale transporte mensal para os funcionários do ICF, que utilizam o tranporte pelo sistema Transfacil. Competência: Maio/2025</t>
  </si>
  <si>
    <t>ISS sobre Vale transporte mensal para funcionários que utilizam o transporte pelo sistema DER. Competência: Maio/2026</t>
  </si>
  <si>
    <t>ISS sobre Contratação de 2 carregadores para retirada de móveis que foram emprestados pela CODEMGE que estavam na casa tombada (mineiraria) do Centro cultural presidente Itamar Franco e leva-los até o 1º foyer da Sala Minas Gerais</t>
  </si>
  <si>
    <t>INSS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Fevereiro/2026</t>
  </si>
  <si>
    <t>INSS sobre Atendentes no período de captação de recursos do Programa Amigos da Filarmônica e Campanha de Assinaturas, para apoio no atendimento telefônico e presencial, bem como na montagem dos kits da Temporada 2026. Competência: Fevereiro/2026.</t>
  </si>
  <si>
    <t>INSS sobre Serviço de gerenciamento de bilheteria e controle de acesso para a Temporada 2025 (gestão online e bilheteria física). Competência: Fevereiro/2026</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</si>
  <si>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Fevereiro/2026</t>
  </si>
  <si>
    <t>INSS sobre Contratação de Brigadistas para atender o licenciamento exigidos pelo Corpo de Bombeiros para acompanhamento dos Concertos da Orquestra Filarmônica, na Sala Minas Gerais em Praças da RMBH e Turne Estadual. para  Temporada 2026.</t>
  </si>
  <si>
    <t>INSS sobre Serviço de conservação e limpeza. Contrato referente aos meses de Janeiro a Dezembro de 2026. Competência: fevereiro/2026</t>
  </si>
  <si>
    <t>INSS sobre Serviço de conservação e limpeza. Contrato referente aos meses de Janeiro a Dezembro de 2026. Competência: março/2026</t>
  </si>
  <si>
    <t>INSS sobre Serviço de gerenciamento de bilheteria e controle de acesso para a Temporada 2025 (gestão online e bilheteria física). Competência: Março/2026</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</si>
  <si>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Março/2026</t>
  </si>
  <si>
    <t>INSS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Março/2026</t>
  </si>
  <si>
    <t>INSS sobre Contratação de serviço de 02 carregadores para mudança de sala do setor de produção/operações na Sala Minas Gerais, no dia 18/03/026.</t>
  </si>
  <si>
    <t>INSS sobre Atendentes no período de captação de recursos do Programa Amigos da Filarmônica e Campanha de Assinaturas, para apoio no atendimento telefônico e presencial, bem como na montagem dos kits da Temporada 2026. Competência: Março/2026.</t>
  </si>
  <si>
    <t>INSS sobre Contratação de 2 carregadores para retirada de móveis que foram emprestados pela CODEMGE que estavam na casa tombada (mineiraria) do Centro cultural presidente Itamar Franco e leva-los até o 1º foyer da Sala Minas Gerais</t>
  </si>
  <si>
    <t>PIS/COFINS/CSLL sobre Taxa anual de associação à MOLA - Major Orchestra Librarians' Association (Associação de Arquivistas de Grandes Orquestras). Anuidade 2026.</t>
  </si>
  <si>
    <t>PIS/COFINS/CSLL sobre Contratação do flautista Anthony Trionfo como solista convidado nos concertos Presto e Veloce 2, nos dias 26 e 27/03/2026, às 20h30, na Sala Minas Gerais.</t>
  </si>
  <si>
    <t>PIS/COFINS/CSLL sobre Contratação do maestro Vincent de Kort como regente convidado nos concertos Presto e Veloce 2, nos dias 26 e 27/03/2026, às 20h30, na Sala Minas Gerais.</t>
  </si>
  <si>
    <t>PIS/COFINS/CSLL sobre Plano de saúde corporativo com abrangência nacional. Competência: Abril/2026</t>
  </si>
  <si>
    <t>PIS/COFINS/CSLL sobre Mensalidade de medicina e segurança do trabalho (PPRA). Competência: Fevereiro</t>
  </si>
  <si>
    <t>PIS/COFINS/CSLL sobre Atendentes no período de captação de recursos do Programa Amigos da Filarmônica e Campanha de Assinaturas, para apoio no atendimento telefônico e presencial, bem como na montagem dos kits da Temporada 2026. Competência: Fevereiro/2026.</t>
  </si>
  <si>
    <t>PIS/COFINS/CSLL sobre Prestação mensal referente a serviços de regente titular e Direção Artistica da Orquestra Filarmônica de Minas Gerais pelo Maestro Fábio Mechetti. Competência: fevereiro/2026</t>
  </si>
  <si>
    <t>PIS/COFINS/CSLL sobre Mensalidade de medicina e segurança do trabalho (PCMSO). Competência: Fevereiro</t>
  </si>
  <si>
    <t>PIS/COFINS/CSLL sobre Auditoria externa independente do exercício fiscal 2025. Período para execução das atividades - Competência: Fevereiro/2026.</t>
  </si>
  <si>
    <t>PIS/COFINS/CSLL sobre Contratação do ERP Domínio, Implantação e Treinamento dos módulos Contabilidade, Escrita Fiscal, Atualizar, Patrimônio, Lalur, Folha de Pagamento, Auditoria, Portal do Cliente e Portal do Empregado. 
Número de usuários simultâneos: 5
Competência: março/2026</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</si>
  <si>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Fevereiro/2026</t>
  </si>
  <si>
    <t>PIS/COFINS/CSLL sobre Contratação de Brigadistas para atender o licenciamento exigidos pelo Corpo de Bombeiros para acompanhamento dos Concertos da Orquestra Filarmônica, na Sala Minas Gerais em Praças da RMBH e Turne Estadual. para  Temporada 2026.</t>
  </si>
  <si>
    <t>PIS/COFINS/CSLL sobre Serviço de conservação e limpeza. Contrato referente aos meses de Janeiro a Dezembro de 2026. Competência: fevereiro/2026</t>
  </si>
  <si>
    <t>PIS/COFINS/CSLL sobre Serviços de vigilância externa atraves de câmeras de monitoramento. Competência: Março/2026.</t>
  </si>
  <si>
    <t>PIS/COFINS/CSLL sobre NF</t>
  </si>
  <si>
    <t>PIS/COFINS/CSLL sobre Serviço de conservação e limpeza. Contrato referente aos meses de Janeiro a Dezembro de 2026. Competência: março/2026</t>
  </si>
  <si>
    <t>PIS/COFINS/CSLL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Março/2026</t>
  </si>
  <si>
    <t>PIS/COFINS/CSLL sobre Serviços de vigilância externa atraves de câmeras de monitoramento. Competência: Abril/2026.</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</si>
  <si>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Março/2026</t>
  </si>
  <si>
    <t>PIS/COFINS/CSLL sobre Serviço de manutenção preventiva/corretiva dos 10 elevadores do predio da Sala Minas Gerais. Competência: Março/2026.</t>
  </si>
  <si>
    <t>PIS/COFINS/CSLL sobre Contratação de serviço de 02 carregadores para mudança de sala do setor de produção/operações na Sala Minas Gerais, no dia 18/03/026.</t>
  </si>
  <si>
    <t>PIS/COFINS/CSLL sobre Contratação de 2 carregadores para retirada de móveis que foram emprestados pela CODEMGE que estavam na casa tombada (mineiraria) do Centro cultural presidente Itamar Franco e leva-los até o 1º foyer da Sala Minas Gerais</t>
  </si>
  <si>
    <t>PIS/COFINS/CSLL sobre Auditoria externa independente do exercício fiscal 2025. Período para execução das atividades - Competência: Abril/2026.</t>
  </si>
  <si>
    <t>PIS/COFINS/CSLL sobre Atendentes no período de captação de recursos do Programa Amigos da Filarmônica e Campanha de Assinaturas, para apoio no atendimento telefônico e presencial, bem como na montagem dos kits da Temporada 2026. Competência: Março/2026.</t>
  </si>
  <si>
    <t>Imposto de Renda sobre Aluguel de partituras para o concerto Fora de Série IV (4 de julho). Obra: Liszt - São Francisco de Paula sobre as ondas. Regente: Fabio Mechetti.</t>
  </si>
  <si>
    <t>Imposto de Renda sobre Taxa de inscrição para a 44a Conferência da MOLA, que acontecerá entre os dias 19 e 22 de junho de 2026 em Sydney, Austrália.</t>
  </si>
  <si>
    <t>Imposto de Renda sobre Taxa anual de associação à MOLA - Major Orchestra Librarians' Association (Associação de Arquivistas de Grandes Orquestras). Anuidade 2026.</t>
  </si>
  <si>
    <t>Imposto de Renda sobre Aluguel de partituras para os concertos Allegro III e Vivace III (7 e 8 de maio). Obra: Tan Dun - 3 musas em videogame. Regente: José Soares.</t>
  </si>
  <si>
    <t>Imposto de Renda sobre Contratação do flautista Anthony Trionfo como solista convidado nos concertos Presto e Veloce 2, nos dias 26 e 27/03/2026, às 20h30, na Sala Minas Gerais.</t>
  </si>
  <si>
    <t>Imposto de Renda sobre Contratação do maestro Vincent de Kort como regente convidado nos concertos Presto e Veloce 2, nos dias 26 e 27/03/2026, às 20h30, na Sala Minas Gerais.</t>
  </si>
  <si>
    <t>Imposto de Renda sobre Prestação mensal referente a serviços de regente titular e Direção Artistica da Orquestra Filarmônica de Minas Gerais pelo Maestro Fábio Mechetti. Competência: fevereiro/2026</t>
  </si>
  <si>
    <t>Imposto de Renda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Fevereiro/2026</t>
  </si>
  <si>
    <t>Imposto de Renda sobre Atendentes no período de captação de recursos do Programa Amigos da Filarmônica e Campanha de Assinaturas, para apoio no atendimento telefônico e presencial, bem como na montagem dos kits da Temporada 2026. Competência: Fevereiro/2026.</t>
  </si>
  <si>
    <t>Imposto de Renda sobre Auditoria externa independente do exercício fiscal 2025. Período para execução das atividades - Competência: Fevereiro/2026.</t>
  </si>
  <si>
    <t>Imposto de Renda sobre Serviços de vigilância externa atraves de câmeras de monitoramento. Competência: Março/2026.</t>
  </si>
  <si>
    <t>Imposto de Renda sobre Serviço de gerenciamento de bilheteria e controle de acesso para a Temporada 2025 (gestão online e bilheteria física). Competência: Fevereiro/2026</t>
  </si>
  <si>
    <t>Imposto de Renda sobre Plano de saúde corporativo com abrangência nacional. Competência: Abril/2026</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</si>
  <si>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Fevereiro/2026</t>
  </si>
  <si>
    <t>Imposto de Renda sobre Serviço de manutenção preventiva/corretiva dos 10 elevadores do predio da Sala Minas Gerais. Competência: Fevereiro/2026.</t>
  </si>
  <si>
    <t>Imposto de Renda sobre Mensalidade de medicina e segurança do trabalho (PCMSO). Competência: Fevereiro</t>
  </si>
  <si>
    <t>Imposto de Renda sobre Serviço de conservação e limpeza. Contrato referente aos meses de Janeiro a Dezembro de 2026. Competência: fevereiro/2026</t>
  </si>
  <si>
    <t>Imposto de Renda sobre Aditivo referente ao contrato do pedido 74198. Aluguel para concerto extra do Especial I (03 de abril). Obra: Schifrin - Missão Impossível. Regente: José Soares.</t>
  </si>
  <si>
    <t>Imposto de Renda sobre Aluguel de partituras para os concertos Presto VII e Veloce VII (10 e 11 de setembro). Obra: Rodrigo - Fantasia para um fidalgo. Solista: Fabio Zanon. Regente: Fabio Mechetti.</t>
  </si>
  <si>
    <t>Imposto de Renda sobre Prestação mensal referente a serviços de regente titular e Direção Artistica da Orquestra Filarmônica de Minas Gerais pelo Maestro Fábio Mechetti. Competência: março/2026</t>
  </si>
  <si>
    <t>Imposto de Renda sobre Serviço de conservação e limpeza. Contrato referente aos meses de Janeiro a Dezembro de 2026. Competência: março/2026</t>
  </si>
  <si>
    <t>Imposto de Renda sobre Serviço de gerenciamento de bilheteria e controle de acesso para a Temporada 2025 (gestão online e bilheteria física). Competência: Março/2026</t>
  </si>
  <si>
    <t>Imposto de Renda sobre Serviços de vigilância externa atraves de câmeras de monitoramento. Competência: Abril/2026.</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</si>
  <si>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Março/2026</t>
  </si>
  <si>
    <t>Imposto de Renda sobre 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Março/2026</t>
  </si>
  <si>
    <t>Imposto de Renda sobre Contratação de Brigadistas para atender o licenciamento exigidos pelo Corpo de Bombeiros para acompanhamento dos Concertos da Orquestra Filarmônica, na Sala Minas Gerais em Praças da RMBH e Turne Estadual. para  Temporada 2026.</t>
  </si>
  <si>
    <t>Imposto de Renda sobre Plano de saúde corporativo com abrangência nacional. Competência: Maio/2026</t>
  </si>
  <si>
    <t>Imposto de Renda sobre Auditoria externa independente do exercício fiscal 2025. Período para execução das atividades - Competência: Abril/2026.</t>
  </si>
  <si>
    <t>Imposto de Renda sobre Atendentes no período de captação de recursos do Programa Amigos da Filarmônica e Campanha de Assinaturas, para apoio no atendimento telefônico e presencial, bem como na montagem dos kits da Temporada 2026. Competência: Março/2026.</t>
  </si>
  <si>
    <t>Imposto de Renda sobre Mensalidade de medicina e segurança do trabalho (PCMSO). Competência: Março</t>
  </si>
  <si>
    <t>Imposto de Renda sobre Serviço de manutenção preventiva/corretiva dos 10 elevadores do predio da Sala Minas Gerais. Competência: Março/2026.</t>
  </si>
  <si>
    <t>Transporte de partituras</t>
  </si>
  <si>
    <t>P2620</t>
  </si>
  <si>
    <t>P2622</t>
  </si>
  <si>
    <t>P2623</t>
  </si>
  <si>
    <t>P2621</t>
  </si>
  <si>
    <t>P2626</t>
  </si>
  <si>
    <t>P2627</t>
  </si>
  <si>
    <t>P2628</t>
  </si>
  <si>
    <t>P2629</t>
  </si>
  <si>
    <t>P2630</t>
  </si>
  <si>
    <t>P2631</t>
  </si>
  <si>
    <t>P2632</t>
  </si>
  <si>
    <t>P2633</t>
  </si>
  <si>
    <t>P2624</t>
  </si>
  <si>
    <t>AP0735</t>
  </si>
  <si>
    <t>AP0736</t>
  </si>
  <si>
    <t>AP0737</t>
  </si>
  <si>
    <t>AP0738</t>
  </si>
  <si>
    <t>P2625</t>
  </si>
  <si>
    <t>P2635</t>
  </si>
  <si>
    <t>P2636</t>
  </si>
  <si>
    <t>P2637</t>
  </si>
  <si>
    <t>P2638</t>
  </si>
  <si>
    <t>P2639</t>
  </si>
  <si>
    <t>P2640</t>
  </si>
  <si>
    <t>P2641</t>
  </si>
  <si>
    <t>P2642</t>
  </si>
  <si>
    <t>P2643</t>
  </si>
  <si>
    <t>P2644</t>
  </si>
  <si>
    <t>P2645</t>
  </si>
  <si>
    <t>P2646</t>
  </si>
  <si>
    <t>P2647</t>
  </si>
  <si>
    <t>P2648</t>
  </si>
  <si>
    <t>P2649</t>
  </si>
  <si>
    <t>P2650</t>
  </si>
  <si>
    <t>P2651</t>
  </si>
  <si>
    <t>P2652</t>
  </si>
  <si>
    <t>P2653</t>
  </si>
  <si>
    <t>P2654</t>
  </si>
  <si>
    <t>P2655</t>
  </si>
  <si>
    <t>P2656</t>
  </si>
  <si>
    <t>P2657</t>
  </si>
  <si>
    <t>P2658</t>
  </si>
  <si>
    <t>P2659</t>
  </si>
  <si>
    <t>P2660</t>
  </si>
  <si>
    <t>P2661</t>
  </si>
  <si>
    <t>P2662</t>
  </si>
  <si>
    <t>P2663</t>
  </si>
  <si>
    <t>P2664</t>
  </si>
  <si>
    <t>P2665</t>
  </si>
  <si>
    <t>P2666</t>
  </si>
  <si>
    <t>P2667</t>
  </si>
  <si>
    <t>P2668</t>
  </si>
  <si>
    <t>P2669</t>
  </si>
  <si>
    <t>P2670</t>
  </si>
  <si>
    <t>P2671</t>
  </si>
  <si>
    <t>P2672</t>
  </si>
  <si>
    <t>P2673</t>
  </si>
  <si>
    <t>P2674</t>
  </si>
  <si>
    <t>P2679</t>
  </si>
  <si>
    <t>P2680</t>
  </si>
  <si>
    <t>P2681</t>
  </si>
  <si>
    <t>P2682</t>
  </si>
  <si>
    <t>P2683</t>
  </si>
  <si>
    <t>P2684</t>
  </si>
  <si>
    <t>P2685</t>
  </si>
  <si>
    <t>P2686</t>
  </si>
  <si>
    <t>P2687</t>
  </si>
  <si>
    <t>P2688</t>
  </si>
  <si>
    <t>P2689</t>
  </si>
  <si>
    <t>P2690</t>
  </si>
  <si>
    <t>P2691</t>
  </si>
  <si>
    <t>P2634</t>
  </si>
  <si>
    <t>P2675</t>
  </si>
  <si>
    <t>P2676</t>
  </si>
  <si>
    <t>P2677</t>
  </si>
  <si>
    <t>P2678</t>
  </si>
  <si>
    <t>P2706</t>
  </si>
  <si>
    <t>P2692</t>
  </si>
  <si>
    <t>P2693</t>
  </si>
  <si>
    <t>P2694</t>
  </si>
  <si>
    <t>P2695</t>
  </si>
  <si>
    <t>P2696</t>
  </si>
  <si>
    <t>P2697</t>
  </si>
  <si>
    <t>P2698</t>
  </si>
  <si>
    <t>P2699</t>
  </si>
  <si>
    <t>P2700</t>
  </si>
  <si>
    <t>P2701</t>
  </si>
  <si>
    <t>P2702</t>
  </si>
  <si>
    <t>P2703</t>
  </si>
  <si>
    <t>P2704</t>
  </si>
  <si>
    <t>P2707</t>
  </si>
  <si>
    <t>P2708</t>
  </si>
  <si>
    <t>P2709</t>
  </si>
  <si>
    <t>P2710</t>
  </si>
  <si>
    <t>P2705</t>
  </si>
  <si>
    <t>P2712</t>
  </si>
  <si>
    <t>P2711</t>
  </si>
  <si>
    <t>BANCO MAPEX T670</t>
  </si>
  <si>
    <t>Base para Mesa Retangular 1.60</t>
  </si>
  <si>
    <t>Smartphone Motorola Moto G06 128GB</t>
  </si>
  <si>
    <t>CONTROLE PARA CAMERA PTZ RC-IP100CEST: 21.031.00</t>
  </si>
  <si>
    <t>CAMERA CR-N300 4K NDI PTZ</t>
  </si>
  <si>
    <t>Pandeiro Lp Cyclops Brass Preto Lp174 EstiloMeia Lua Preto</t>
  </si>
  <si>
    <t>MACBETH: BALLET MUSIC</t>
  </si>
  <si>
    <t>HUMMEL PIANO CONCERTO IN A MINOR OP 85</t>
  </si>
  <si>
    <t>WAGNER SIEGFRIED (MURMURIOS DA FLORESTA)</t>
  </si>
  <si>
    <t>FALLA EL AMOR BRUJO</t>
  </si>
  <si>
    <t>Motorola Moto G06 - 128gb</t>
  </si>
  <si>
    <t>KIT PAREDE</t>
  </si>
  <si>
    <t>PEDESTAL POPLINE</t>
  </si>
  <si>
    <t>ARMARIO BAIXO 02 PORTAS DE GIRO</t>
  </si>
  <si>
    <t>GAVETEIRO VOLANTE 05 GAVETAS</t>
  </si>
  <si>
    <t>ANEXO GOTA</t>
  </si>
  <si>
    <t>PROJETOR EPSON POWERLITE E24 3600</t>
  </si>
  <si>
    <t>CADEIRA BASE GIRATORIA C/ BRACO</t>
  </si>
  <si>
    <t>MESA EM L</t>
  </si>
  <si>
    <t>microfone USB com captação 360º</t>
  </si>
  <si>
    <t>ESTANTE DE ACO ED-2337 230X92X30 C07 PRATELEIRAS CINZA CLARO N6,5 - TX</t>
  </si>
  <si>
    <t>AUDIOCONFERENCIA - SPEAKERPHONE CAP 200 BT PRETO</t>
  </si>
  <si>
    <t>1 QUADRO DE AVISO EM ACRILICO 1200X900 MM</t>
  </si>
  <si>
    <t>QUADRO  EM  ACRILICO  2MM  IMPRESSO  DIGITAL  C/BOLSAS EM PETG 1200X900MM</t>
  </si>
  <si>
    <t>DELUXE GRAND M.A. BLACK HORSE MESA</t>
  </si>
  <si>
    <t>FURADEIRA PARAF BAT 1/2 20V-LI DCD791D2-B2 220V DEWALT 2BAT 2AH</t>
  </si>
  <si>
    <t>Switch Hub Chaveador Kvm 4 Portas 4k Usb2.0/3.0 Audio E Cor Preto</t>
  </si>
  <si>
    <t>Encadernadora e Perfuradora de papel Elétrica Semi-industrial Minimax</t>
  </si>
  <si>
    <t>Microondas 34L Branco Electrolux - MEO44 220V220V</t>
  </si>
  <si>
    <t>Monitor Gamer Curvo Samsung Odyssey G9 49? DQHD144Hz 1ms FreeSync Premium Pro - LS49FG910ELXZD</t>
  </si>
  <si>
    <t>EQUIPAMENTOS MUSICAIS</t>
  </si>
  <si>
    <t>MOVEIS E UTENSILIOS</t>
  </si>
  <si>
    <t>APARELHOS TELEFONICOS</t>
  </si>
  <si>
    <t>MÁQUINAS E EQUIPAMENTOS</t>
  </si>
  <si>
    <t>INSTRUMENTOS MUSICAIS</t>
  </si>
  <si>
    <t>COMPUTADORES E PERIFERICOS</t>
  </si>
  <si>
    <t>02/06/2026</t>
  </si>
  <si>
    <t>03/06/2026</t>
  </si>
  <si>
    <t>08/06/2026</t>
  </si>
  <si>
    <t>18/06/2026</t>
  </si>
  <si>
    <t>24/06/2026</t>
  </si>
  <si>
    <t>A SERENATA LTDA</t>
  </si>
  <si>
    <t>METAL LIVRE INDUSTRIA E COMERCIO LTDA</t>
  </si>
  <si>
    <t>EBAZAR.COM.BR LTDA</t>
  </si>
  <si>
    <t>WEB MUSIC SHOP COMERCIO DE INSTRUMENTOS</t>
  </si>
  <si>
    <t>BRAIN BOX COMERCIO E SERVIÇOS DE</t>
  </si>
  <si>
    <t>PEATON DO BRASIL COMERCIAL LTDA - EPP</t>
  </si>
  <si>
    <t>JULIANA LOUCAO CRISTINO</t>
  </si>
  <si>
    <t>FUNCIONAL MOVEIS DE ACO LTDA.</t>
  </si>
  <si>
    <t>OFFCOMP COMERCIO E SERVICOS DE INFORMATICA LTDA</t>
  </si>
  <si>
    <t>W &amp; N EMPREENDIMENTOS LTDA</t>
  </si>
  <si>
    <t>TALITA DOS SANTOS TEIXEIRA CARAPIE</t>
  </si>
  <si>
    <t>NETOS STORE VARIEDADES LTDA</t>
  </si>
  <si>
    <t>SHOPMASTER COMERCIO DE UTILIDADES E SUPRIMENTOS</t>
  </si>
  <si>
    <t>MAIS ETICA COMERCIAL</t>
  </si>
  <si>
    <t>SALA PERCUSAO</t>
  </si>
  <si>
    <t>OPERACOES</t>
  </si>
  <si>
    <t>FLAVIANA</t>
  </si>
  <si>
    <t>ESTUDIO 5 ANDAR</t>
  </si>
  <si>
    <t>SALA DE PERCUSSAO</t>
  </si>
  <si>
    <t>GERENCIA DE ORQUESTRA</t>
  </si>
  <si>
    <t>INFRAESTRUTURA</t>
  </si>
  <si>
    <t>INFRAESTRUTURA E PRODUÇÃO</t>
  </si>
  <si>
    <t>PRODUCAO E INFRAESTRUTURA</t>
  </si>
  <si>
    <t>EDUCATIVO</t>
  </si>
  <si>
    <t>ADMINISTRATIVO</t>
  </si>
  <si>
    <t>SALA T.I</t>
  </si>
  <si>
    <t>ADM FINANCEIRO</t>
  </si>
  <si>
    <t>RECEPCAO</t>
  </si>
  <si>
    <t>SALA DO CONSELHO</t>
  </si>
  <si>
    <t>SALA DE ILUMINAÇÃO</t>
  </si>
  <si>
    <t>OPERAÇÕES</t>
  </si>
  <si>
    <t>SALA DE REUNIOES</t>
  </si>
  <si>
    <t>COPA 3º ANDAR</t>
  </si>
  <si>
    <t>ESTÚDIO 5°ANDAR</t>
  </si>
  <si>
    <t>Compra de 2 pé/base para as mesas da sala de reunião e sala de produção</t>
  </si>
  <si>
    <t>Aparelho Celular para demandas do Administrativo - Smartphone Motorola Moto G06 - 128gb 12gb (4gb Ram + 8gb Ram Boost) E Camera 50mp Com Ai Bateria De 5200 Mah Tela 6.9 - Azul Marinho</t>
  </si>
  <si>
    <t>Aquisição de instrumento de percussão, pandeiro,  para Orquestra Filarmonica de Minas Gerais.</t>
  </si>
  <si>
    <t>Compra de partituras para os concertos:  Juventude III (28 de junho).</t>
  </si>
  <si>
    <t xml:space="preserve">Compra de partituras para os concertos  Presto VII e Veloce VII (10 e 11 de setembro) </t>
  </si>
  <si>
    <t>Compra de partituras para os concertos Fora de Série V (22 de agosto)</t>
  </si>
  <si>
    <t>Compra de mobiliário para as Salas de reunião, marketing e comunicação, sendo: 02 armários baixos de 2 portas, 1 amário baixo de 3 portas, 4 gaveteiros volante com 5 gavetas, 6 anexos gota.</t>
  </si>
  <si>
    <t>Aquisição de 1 (um) microfone USB com captação 360º, para utilização nas salas de reunião, com o objetivo de melhorar a qualidade dos áudios durante reuniões e videoconferências.</t>
  </si>
  <si>
    <t>Compra de 9 estantes de aço em chapa 22 com 7 prateleiras para os depósitos de operações e comunicação/marketing</t>
  </si>
  <si>
    <t>Aquisição de 2 quadros de aviso do tipo "Gestão à Vista", sendo um para a Recepção e outro para a Sala do Conselho</t>
  </si>
  <si>
    <t>Compra de uma Mesa DMX controladora de iluminação, para controle dos equipamentos de iluminação cênica da Sala Minas Gerais</t>
  </si>
  <si>
    <t>Compra de 03 unidades do equipamento Switch Hub Chaveador KVM 4 Portas USB 4K HDMI, sendo 01 unidade para cada sala de reunião, com objetivo de facilitar a conexão e alternância de dispositivos durante apresentações e videoconferências, proporcionando mai</t>
  </si>
  <si>
    <t>Aquisição de uma encadernadora perfuradora elétrica para o arquivo da orquestra, essencial para otimizar o trabalho de preparação de materiais musicais, como partituras, partes individuais e cadernos de ensaio, além de evitar desperdícios causados por err</t>
  </si>
  <si>
    <t>Compra de micro-ondas para a copa do 3º andar.</t>
  </si>
  <si>
    <t>Aquisição de monitor gamer para o estúdio do ICF, para utilização nas transmissões ao vivo e em outras produções de vídeo de divulgação da Orquestra Filarmônica de Minas Gerais.</t>
  </si>
  <si>
    <t>VCAST IMAGE E AUDIO STORE LTDA</t>
  </si>
  <si>
    <t>KABUM SA</t>
  </si>
  <si>
    <t xml:space="preserve">DECK PRODUCOES ARTISTICAS LTDA                              </t>
  </si>
  <si>
    <t>30253090000193</t>
  </si>
  <si>
    <t xml:space="preserve">IMAGEM EDITORA GRAFICA LTDA                                 </t>
  </si>
  <si>
    <t>09264555000115</t>
  </si>
  <si>
    <t xml:space="preserve">PABLO BATISTA LAGES                                         </t>
  </si>
  <si>
    <t xml:space="preserve">08982711694   </t>
  </si>
  <si>
    <t xml:space="preserve">ITAMARA KELLY APARECIDA DE JESUS                            </t>
  </si>
  <si>
    <t xml:space="preserve">06753263624   </t>
  </si>
  <si>
    <t xml:space="preserve">TATIANA LEVY TAVARES                                        </t>
  </si>
  <si>
    <t xml:space="preserve">15298988890   </t>
  </si>
  <si>
    <t xml:space="preserve">CENTRAL LIVRE DE COMUNICACAO LTDA                           </t>
  </si>
  <si>
    <t>27038987000190</t>
  </si>
  <si>
    <t xml:space="preserve">COMPANHIA ALMA DELL' ART                                    </t>
  </si>
  <si>
    <t>04712715000128</t>
  </si>
  <si>
    <t xml:space="preserve">DANIELS' ORCHESTRAL MUSIC ONLINE                            </t>
  </si>
  <si>
    <t xml:space="preserve">VIMEO.COM, INC.                                             </t>
  </si>
  <si>
    <t xml:space="preserve">BYTEDANCE PTE. LTD.                                         </t>
  </si>
  <si>
    <t xml:space="preserve">MINAS PRIME EVENTOS LTDA                                    </t>
  </si>
  <si>
    <t>66618503000133</t>
  </si>
  <si>
    <t xml:space="preserve">NETOS STORE VARIEDADES LTDA                                 </t>
  </si>
  <si>
    <t>49368330000123</t>
  </si>
  <si>
    <t xml:space="preserve">UBIQUITI BRAZIL COMERCIO DE ELETRONICOS LTDA.               </t>
  </si>
  <si>
    <t>33166730000116</t>
  </si>
  <si>
    <t xml:space="preserve">ANA PAULA SABINO DO CARMO                                   </t>
  </si>
  <si>
    <t xml:space="preserve">ANA LUCIA DE CARVALHO                                       </t>
  </si>
  <si>
    <t xml:space="preserve">80155553615   </t>
  </si>
  <si>
    <t xml:space="preserve">SIN TRAB ENTIDADES CULTURAIS RECREATIVAS EST MG             </t>
  </si>
  <si>
    <t>00786960000129</t>
  </si>
  <si>
    <t xml:space="preserve">SECRETARIA DE ESTADO DE CULTURA                             </t>
  </si>
  <si>
    <t>19138890000120</t>
  </si>
  <si>
    <t xml:space="preserve">DUEGATTI COMERCIO DE MAQUINAS E EQUIPAMENTOS LTDA           </t>
  </si>
  <si>
    <t>35683727000103</t>
  </si>
  <si>
    <t xml:space="preserve">IT.ART TECNOLOGIA LTDA (SEM RETENCAO)                       </t>
  </si>
  <si>
    <t xml:space="preserve">DOAÇÕES LIVRES                                              </t>
  </si>
  <si>
    <t/>
  </si>
  <si>
    <t xml:space="preserve">PREFEITURA MUNICIPAL DE BELO </t>
  </si>
  <si>
    <t xml:space="preserve">CENOFISCO EDITORA DE PUBLICACOES TRIBUTARIAS LTDA           </t>
  </si>
  <si>
    <t>82429556000162</t>
  </si>
  <si>
    <t xml:space="preserve">ROYAL PARK ESTACIONAMENTO LTDA                              </t>
  </si>
  <si>
    <t>86383056000198</t>
  </si>
  <si>
    <t xml:space="preserve">F2 COMÉRCIO LTDA                                            </t>
  </si>
  <si>
    <t>24793799000189</t>
  </si>
  <si>
    <t xml:space="preserve">IT.ART TECNOLOGIA (TX ASSINATURA)                           </t>
  </si>
  <si>
    <t xml:space="preserve">DOAÇÕES INCENTIVADAS                                        </t>
  </si>
  <si>
    <t xml:space="preserve">RICARDO DE ALMEIDA REIS                                     </t>
  </si>
  <si>
    <t xml:space="preserve">32811331859   </t>
  </si>
  <si>
    <t xml:space="preserve">ANA LUCIA MIWA TEIXEIRA KOBAYASHI                           </t>
  </si>
  <si>
    <t xml:space="preserve">32094253880   </t>
  </si>
  <si>
    <t xml:space="preserve">ARICIA MARQUES FERIGATO 02893197140                         </t>
  </si>
  <si>
    <t>28466873000103</t>
  </si>
  <si>
    <t xml:space="preserve">RESULTADO ENGENHARIA PROJETOS E CONSTRUÇÕES LTDA.           </t>
  </si>
  <si>
    <t>38460248000108</t>
  </si>
  <si>
    <t xml:space="preserve">AGATA SERVIÇOS LTDA                                         </t>
  </si>
  <si>
    <t>55118201000180</t>
  </si>
  <si>
    <t xml:space="preserve">LOC-LINE GERADORES LTDA                                     </t>
  </si>
  <si>
    <t>11431803000117</t>
  </si>
  <si>
    <t xml:space="preserve">PUBLIBANCA BRASIL S/A                                       </t>
  </si>
  <si>
    <t>24120261000375</t>
  </si>
  <si>
    <t xml:space="preserve">THELMA CRISTINA NASCIMENTO DE SOUSA LANDER 32675177881      </t>
  </si>
  <si>
    <t>18178444000187</t>
  </si>
  <si>
    <t xml:space="preserve">FELIX DE SENA E SOUZA NETO                                  </t>
  </si>
  <si>
    <t xml:space="preserve">09997658680   </t>
  </si>
  <si>
    <t xml:space="preserve">GLOBO COMUNICACAO E PARTICIPACOES S/A                       </t>
  </si>
  <si>
    <t>27865757000102</t>
  </si>
  <si>
    <t xml:space="preserve">ELETROMIDIA S.A.                                            </t>
  </si>
  <si>
    <t>09347516001072</t>
  </si>
  <si>
    <t xml:space="preserve">GURGELMIX MAQUINAS E FERRAMENTAS S.A.                       </t>
  </si>
  <si>
    <t>29302348000115</t>
  </si>
  <si>
    <t xml:space="preserve">MATEUS ALMEIDA DOS SANTOS                                   </t>
  </si>
  <si>
    <t xml:space="preserve">70196414407   </t>
  </si>
  <si>
    <t xml:space="preserve">SESC MG                                                     </t>
  </si>
  <si>
    <t>03643856000173</t>
  </si>
  <si>
    <t xml:space="preserve">SOM DA VEZ ENTRETENIMENTO LTDA                              </t>
  </si>
  <si>
    <t>45879336000104</t>
  </si>
  <si>
    <t xml:space="preserve">CANDIDATO AUDICOES                                          </t>
  </si>
  <si>
    <t xml:space="preserve">RAQUEL SILVA DE MATOS                                       </t>
  </si>
  <si>
    <t xml:space="preserve">11027808638   </t>
  </si>
  <si>
    <t xml:space="preserve">TELLYCOM BRASIL LTDA.                                       </t>
  </si>
  <si>
    <t>28329622000187</t>
  </si>
  <si>
    <t xml:space="preserve">OFFCOMP COMERCIO E SERVICOS DE INFORMATICA LTDA             </t>
  </si>
  <si>
    <t>10388905000134</t>
  </si>
  <si>
    <t xml:space="preserve">CENTRO CULINARIO EDUARDO MAYA LTDA                          </t>
  </si>
  <si>
    <t>05571998000106</t>
  </si>
  <si>
    <t xml:space="preserve">CENTRO CULINARIO EDUARDO </t>
  </si>
  <si>
    <t xml:space="preserve">BRENO AUGUSTO CARDOSO CRUZ 10484364626                      </t>
  </si>
  <si>
    <t>33214126000118</t>
  </si>
  <si>
    <t xml:space="preserve">DINIZPACHANTE LTDA                                          </t>
  </si>
  <si>
    <t>22244708000120</t>
  </si>
  <si>
    <t xml:space="preserve">JUNIOR FESTAS - EIRELI                                      </t>
  </si>
  <si>
    <t>25662511000108</t>
  </si>
  <si>
    <t xml:space="preserve">ADALGISA NASCIMENTO ROSA DE ARAUJO                          </t>
  </si>
  <si>
    <t>97545519000197</t>
  </si>
  <si>
    <t xml:space="preserve">FVM FESTAS E EVENTOS LTDA                                   </t>
  </si>
  <si>
    <t>32679172000120</t>
  </si>
  <si>
    <t xml:space="preserve">TRANSLEVAR MUDANÇAS LTDA ME                                 </t>
  </si>
  <si>
    <t>04826601000109</t>
  </si>
  <si>
    <t xml:space="preserve">OCP EXAMES OCUPACIONAIS LTDA                                </t>
  </si>
  <si>
    <t>44645381000131</t>
  </si>
  <si>
    <t xml:space="preserve">ANA CANDIDA LIBANIO                                         </t>
  </si>
  <si>
    <t xml:space="preserve">04993787685   </t>
  </si>
  <si>
    <t>ABRH-MG - ASSOCIACAO BRASILEIRA DE RECURSOS HUMANOS SECCIONA</t>
  </si>
  <si>
    <t>18689018000108</t>
  </si>
  <si>
    <t xml:space="preserve">FUNCIONAL MOVEIS DE ACO LTDA.                               </t>
  </si>
  <si>
    <t>17365933000185</t>
  </si>
  <si>
    <t xml:space="preserve">CSN CIMENTOS BRASIL S.A.                                    </t>
  </si>
  <si>
    <t>60869336000117</t>
  </si>
  <si>
    <t xml:space="preserve">W &amp; N EMPREENDIMENTOS LTDA                                  </t>
  </si>
  <si>
    <t>00278099000198</t>
  </si>
  <si>
    <t xml:space="preserve">SETOR INFO COMERCIO E INFORMATICA EIRELI                    </t>
  </si>
  <si>
    <t>31674527000125</t>
  </si>
  <si>
    <t xml:space="preserve">FUTURA EXPRESS SOLUCOES DIGITAIS LTDA - EPP                 </t>
  </si>
  <si>
    <t>04125446000101</t>
  </si>
  <si>
    <t xml:space="preserve">INSTITUTO COLETIVO CONSCIENTE                               </t>
  </si>
  <si>
    <t>60212415000150</t>
  </si>
  <si>
    <t xml:space="preserve">CAMERARTE PRODUCOES ARTISTICAS LTDA                         </t>
  </si>
  <si>
    <t>35224764000145</t>
  </si>
  <si>
    <t xml:space="preserve">JDIORDY LUCCA CAMARGO SILVA                                 </t>
  </si>
  <si>
    <t>52845796000187</t>
  </si>
  <si>
    <t xml:space="preserve">USIMINAS                                                    </t>
  </si>
  <si>
    <t>60894730000105</t>
  </si>
  <si>
    <t xml:space="preserve">RAFAEL COSTA ALBERTO                                        </t>
  </si>
  <si>
    <t xml:space="preserve">33237761869   </t>
  </si>
  <si>
    <t xml:space="preserve">ISAAC PIRES ANDRADE                                         </t>
  </si>
  <si>
    <t xml:space="preserve">09400078609   </t>
  </si>
  <si>
    <t xml:space="preserve">POTTENCIAL SEGURADORA S.A.                                  </t>
  </si>
  <si>
    <t>11699534000174</t>
  </si>
  <si>
    <t>FUZIKAWA E ANASTÁCIO ASSESSORIA E DESENVOLVIMENTO HUMANO LTD</t>
  </si>
  <si>
    <t>09424980000124</t>
  </si>
  <si>
    <t xml:space="preserve">GRAZIANO DE CARVALHO                                        </t>
  </si>
  <si>
    <t xml:space="preserve">97119601687   </t>
  </si>
  <si>
    <t xml:space="preserve">JORGE LUIS LIMA CORREIA                                     </t>
  </si>
  <si>
    <t xml:space="preserve">34490400578   </t>
  </si>
  <si>
    <t xml:space="preserve">LUCAS REQUEJO DO NASCIMENTO                                 </t>
  </si>
  <si>
    <t xml:space="preserve">41002273889   </t>
  </si>
  <si>
    <t xml:space="preserve">WALACE MARIANO MAURÍCIO                                     </t>
  </si>
  <si>
    <t xml:space="preserve">95053212287   </t>
  </si>
  <si>
    <t>01/06/2026</t>
  </si>
  <si>
    <t>31/05/2026</t>
  </si>
  <si>
    <t>17/05/2026</t>
  </si>
  <si>
    <t>30/05/2026</t>
  </si>
  <si>
    <t>05/06/2026</t>
  </si>
  <si>
    <t>09/06/2026</t>
  </si>
  <si>
    <t>10/06/2026</t>
  </si>
  <si>
    <t>07/06/2026</t>
  </si>
  <si>
    <t>11/06/2026</t>
  </si>
  <si>
    <t>13/06/2026</t>
  </si>
  <si>
    <t>12/06/2026</t>
  </si>
  <si>
    <t>15/06/2026</t>
  </si>
  <si>
    <t>16/06/2026</t>
  </si>
  <si>
    <t>14/06/2026</t>
  </si>
  <si>
    <t>26/06/2025</t>
  </si>
  <si>
    <t>22/06/2026</t>
  </si>
  <si>
    <t>19/06/2026</t>
  </si>
  <si>
    <t>19/06/2025</t>
  </si>
  <si>
    <t>17/06/2026</t>
  </si>
  <si>
    <t>23/06/2026</t>
  </si>
  <si>
    <t>25/06/2026</t>
  </si>
  <si>
    <t>30/06/2026</t>
  </si>
  <si>
    <t>26/06/2026</t>
  </si>
  <si>
    <t>04/06/2026</t>
  </si>
  <si>
    <t>29/06/2026</t>
  </si>
  <si>
    <t xml:space="preserve">GUIA ISSQN - </t>
  </si>
  <si>
    <t xml:space="preserve">&lt;SEM TIPO DE </t>
  </si>
  <si>
    <t xml:space="preserve">IRRF - APLIC FINAN - </t>
  </si>
  <si>
    <t>DARF - COFINS S/ RECEITA</t>
  </si>
  <si>
    <t>FOMENTO - PAG. ORDEM BANCARIA</t>
  </si>
  <si>
    <t>LOCAÇÃO DE GRADES DISCIPLINADORAS</t>
  </si>
  <si>
    <t xml:space="preserve">RECURSO DE PRESTAÇÃO DE </t>
  </si>
  <si>
    <t xml:space="preserve">PROJETO FILARMONICAEM MOVIMENTO LE      </t>
  </si>
  <si>
    <t>Compra de uma válvula de controle de balanceamento 3/4", destinada à substituição na tubulação de água gelada do sistema de ar-condicionado que atende ao Camarim 4</t>
  </si>
  <si>
    <t>Pedido complementar ao pedido 72961, Serviço de assessoria de imprensa. Competência: Maio</t>
  </si>
  <si>
    <t xml:space="preserve">Receita referente ao lincenciamento de título do álbum DVD digital: 50 anos de música. Receita acumalda de JAN a MAR 2026. relatórios em anexo.                                                                                                                </t>
  </si>
  <si>
    <t>Compra de açúcar para reposicao da copa. DMA DISTRIBUIDORA SA. CNPJ: 01.928.075/0016-86.</t>
  </si>
  <si>
    <t>Confecção de apostilas para as Audições Simuladas da Academia Filarmônica.</t>
  </si>
  <si>
    <t>Impressão de cartazes e panfletos para divulgação dos concertos de Praça e Turnê Estadual dentro da região metropolitana de Belo Horizonte. Ref: BH/Pampulha</t>
  </si>
  <si>
    <t>Compra de pasta térmica para manutenção da chaleira. Parceiro Setor Info CNPJ 31.674.527/0001-25.</t>
  </si>
  <si>
    <t xml:space="preserve">Férias Meire 06/2026                                                                                                                                                                                                                                           </t>
  </si>
  <si>
    <t xml:space="preserve">Férias Pablo 06/2026                                                                                                                                                                                                                                           </t>
  </si>
  <si>
    <t xml:space="preserve">Férias Zilka 06/2026                                                                                                                                                                                                                                           </t>
  </si>
  <si>
    <t xml:space="preserve">Férias Itamara 06/2026                                                                                                                                                                                                                                         </t>
  </si>
  <si>
    <t>Contratação de melhoria na capacidade de armazenamento do celular do setor de Comunicação. O celular é utilizado para produção de conteúdos audiovisuais e fotográficos para divulgação das atividades da Orquestra Filarmônica de Minas Gerais e tem capacidade de armazenamento limitada, fazendo-se necessário um plano maior de armazenamento de arquivos. Competência: Maio/2026</t>
  </si>
  <si>
    <t>Plano corporativo Business Standard de emails e serviços Google. Competência: Maio/2026.</t>
  </si>
  <si>
    <t>Renovação do serviço de envio automático/seriado de e-mails para o banco de contatos da Filarmônica. Competência: Maio/2025</t>
  </si>
  <si>
    <t>Impressão de cartazes e panfletos para divulgação dos concertos de Praça e Turnê Estadual dentro da região metropolitana de Belo Horizonte. Ref: Turnê Betim</t>
  </si>
  <si>
    <t>Aluguel de partituras para os concertos Allegro V e Vivace V (9  e 10 de julho). Obra: Nepomuceno - Scherzo para orquestra. Regente: Fabio Mechetti.</t>
  </si>
  <si>
    <t>Compra de partituras para os concertos Fora de Série V (22 de agosto), Presto VII e Veloce VII (10 e 11 de setembro) e Fora de Série VI (26 de setembro).</t>
  </si>
  <si>
    <t>Pedido complementar ao pedido 75206 - impressão de faixas de sinalização do concerto externo Pampulha e adesivo de reparo para lona da Lateral B do mesmo concerto.</t>
  </si>
  <si>
    <t>Aluguel de partituras para os concertos Presto VI e Veloce VI - 6 e 7 de agosto. Obra: Tavares - Concerto para violino em formas brasileiras. Regente: José Soares.</t>
  </si>
  <si>
    <t>Contratação de veiculação de spot de rádio para divulgação do concerto externo em Vespasiano/MG.</t>
  </si>
  <si>
    <t>Passagens aéreas para o trompista Renan Sena (Vitória/BH/Vitória), para os concertos Allegro Vivace 6 a serem realizados nos dias 13/08/2026 a 14/08/2026, na Sala Minas Gerais.</t>
  </si>
  <si>
    <t>Prestação mensal referente a serviços de regente titular e Direção Artistica da Orquestra Filarmônica de Minas Gerais pelo Maestro Fábio Mechetti. Competência: junho/2026</t>
  </si>
  <si>
    <t>Prestação mensal referente à contratação do regente associado José Soares. Competência: Abril/2026</t>
  </si>
  <si>
    <t>Produção de arquivos de legenda e projeção de legenda para concerto e transmissão ao vivo nos ensaios e no concertoconcerto Presto e Veloce 3</t>
  </si>
  <si>
    <t>Dois anúncios pontuais no site musicalchairs.info (referência internacional na divulgação de postos de trabalhos e outros assuntos de interesse dos profissionais da música) para as audições de Assistente de Spalla e Trompa (principal assistente).</t>
  </si>
  <si>
    <t>Assinatura anual do site daniels-orchestral.com que oferece uma biblioteca com vasto acervo de informações musicais de referência para o planejamento artístico, pesquisa à Comunicação, para o Arquivo Musical e Gerência da Orquestra. Vigência: 11/05/2026 a 11/05/2027. Dois usuários.</t>
  </si>
  <si>
    <t>Contratação de uma plataforma para hospedar o vídeo de abertura do atual site da Filarmônica. Necessidade de hospedar o vídeo em uma plataforma online para que ele seja carregado com mais facilidade e qualidade, sem aplicação de logomarcas do hospedador e/ou propagandas indesejadas, não interferindo, assim, na navegação da pessoa pelo site.</t>
  </si>
  <si>
    <t>Impressão de 5 cartazes para outdoor, para divulgação do concerto externo em Vespasiano/MG.</t>
  </si>
  <si>
    <t>Contratação de serviço de filmagem e edição do vídeo do concerto do Dia das Mães - Turnê Estadual Betim, no dia 10 de maio de 2026.</t>
  </si>
  <si>
    <t>Vale transporte mensal para os funcionários do ICF, que utilizam o tranporte pelo sistema Transfacil. Competência: Junho/2025</t>
  </si>
  <si>
    <t>Contratação da plataforma CapCut para fazer edições de vídeo no celular com recursos que não estão disponíveis na plataforma gratuitamente, como por exemplo as legendas automáticas das falas.</t>
  </si>
  <si>
    <t>Locação da Praça da Sala Minas Gerais, para realização do “Arraiá de inverno”, para 4.000 (quatro mil) pessoas, com bilheteria, a preços populares, pela LOCATÁRIA, no dia 06/06/2026</t>
  </si>
  <si>
    <t xml:space="preserve">Adiantamento referente a compra de uma placa de rede para fibra óptica para upgrade no computador da transmissão do estúdio de transmissão da orquestra.Parceiro(5465)2W Comercio(2385)MercadoPago.                                                            </t>
  </si>
  <si>
    <t xml:space="preserve">Adiantamento referente a compra de 20 unidades Cordão óptico ST single mode simplex e 4 unidades de Cordão óptico SC multimode duplex, para uso nas novas câmaras do estúdio de transmissão.Parceiro(5469)Tellycom Brasil(2385)MercadoPago.                    </t>
  </si>
  <si>
    <t xml:space="preserve">Adiantamento referente aquisição de aro para caixa da percussão da Orquestra Filarmônica de Minas Gerais.Parceiro(5467)D Groove(2385)MercadoPago.                                                                                                              </t>
  </si>
  <si>
    <t>Compra de 03 unidades do equipamento Switch Hub Chaveador KVM 4 Portas USB 4K HDMI, sendo 01 unidade para cada sala de reunião, com objetivo de facilitar a conexão e alternância de dispositivos durante apresentações e videoconferências, proporcionando maior praticidade, organização e eficiência nas reuniões.</t>
  </si>
  <si>
    <t xml:space="preserve">Adiantamento referente a compra de uma placa mãe para upgrade no computador de transmissão do estúdio de transmissão da orquestra.Competência:Parceiro(2312)Kabum.                                                                                             </t>
  </si>
  <si>
    <t xml:space="preserve">Adiantamento referente a compra de um gabinete para substituição no computador de transmissão do estúdio de transmissão.Competência:Parceiro(2312)Kabum.                                                                                                       </t>
  </si>
  <si>
    <t xml:space="preserve">Adiantamento referente aquisição de fitas de sinalização para serem usadas nos palcos das praças e turnês.Parceiro(5468)Take Tools(2385)MercadoPago.                                                                                                           </t>
  </si>
  <si>
    <t xml:space="preserve">Adiantamento referente aquisição de filtros para os projetores do ICF.Parceiro(5466)Ricardo Dos Santos(2385)MercadoPago.                                                                                                                                       </t>
  </si>
  <si>
    <t>Valor referente a bolsa de estudo, concedida pelo ICF ao candidato aprovado em edital a Academia Filarmônica. Competência: Maio/2026</t>
  </si>
  <si>
    <t>Valor referente a participação na Academia Filarmônica. Competência: Maio/2026</t>
  </si>
  <si>
    <t>Valor referente a concessão de bolsa de aprendizado pelo ICF ao Bolsista, na condição de aluno da Academia Filarmônica. Competência: maio/2026.</t>
  </si>
  <si>
    <t xml:space="preserve">Adiantamento referente aquisição de aquisição de totens de extensão elétrica com tomadas para atender a demanda do 3° andar  Músicos da OFMG.Parceiro(5463)ABShop(2385)MercadoPago.                                                                            </t>
  </si>
  <si>
    <t xml:space="preserve">Adiantamento referente a compra de 20 pares de Módulo Óptico Monomodo Bidirecional 1G e 2 pares de Módulo Óptico Multi-Modo 10G, para ampliação da rede de fibra óptica da estúdio de transmissão.Parceiro(3805)Ubiquiti Brazil.                               </t>
  </si>
  <si>
    <t>Pedido complementar ao pedido 75117, referente à ajuda de custo de deslocamento para aluna da Universidade Estadual de Minas Gerais que atuará como monitora das atividades ligadas à primeira edição dos Concertos Didáticos de 2026.</t>
  </si>
  <si>
    <t>Pedido complementar ao pedido 75120, referente à ajuda de custo para aluno da Universidade Estadual de Minas Gerais que atuará como monitora das atividades ligadas à primeira edição dos Concertos Didáticos de 2026.</t>
  </si>
  <si>
    <t>Pedido complementar ao pedido 75127, referente à ajuda de deslocamento para aluno da Universidade Estadual de Minas Gerais que atuará como monitora das atividades ligadas à primeira edição dos Concertos Didáticos de 2026.</t>
  </si>
  <si>
    <t xml:space="preserve">Adiantamento referente a compra de  fita kraft para acabamento no palco.Parceiro(5505)Suprir eventos(2385)MercadoPago.                                                                                                                                         </t>
  </si>
  <si>
    <t xml:space="preserve">Férias Ana Lucia 06/2026                                                                                                                                                                                                                                       </t>
  </si>
  <si>
    <t>Serviço de deslocamento urbano por aplicativo (Uber). Competência: abril/2026</t>
  </si>
  <si>
    <t xml:space="preserve">Pensao folha Maio/2026.                                                                                                                                                                                                                                        </t>
  </si>
  <si>
    <t xml:space="preserve">Pagamento estagiaria folha 05/2026.                                                                                                                                                                                                                            </t>
  </si>
  <si>
    <t xml:space="preserve">FGTS emprestimo consignado folha 05/2026                                                                                                                                                                                                                       </t>
  </si>
  <si>
    <t xml:space="preserve">FGTS folha 05/2026                                                                                                                                                                                                                                             </t>
  </si>
  <si>
    <t xml:space="preserve">Associação dos músicos Folha 05/2026.                                                                                                                                                                                                                          </t>
  </si>
  <si>
    <t xml:space="preserve">Contribuição sindical 05/2026.                                                                                                                                                                                                                                 </t>
  </si>
  <si>
    <t xml:space="preserve">Repasse SEC - Referente ao contrato de Gestão 06/2026.                                                                                                                                                                                                         </t>
  </si>
  <si>
    <t xml:space="preserve">Pagamento folha 05/2026.                                                                                                                                                                                                                                       </t>
  </si>
  <si>
    <t>Aquisição de 3 atuadores destinados ao controle de válvulas de ar de volume variável (VAV) para as salas localizadas no 2º andar</t>
  </si>
  <si>
    <t>Compra de lâmpadas para reposição nas luminárias do 2° andar e escadas de emergência</t>
  </si>
  <si>
    <t>Compra de itens de copa - 2 unidades de açúcar cristal de 5kg; 1 caixa de adoçante líquido; 60 litros de leite; 23 unidades de manteiga; 1 unidade de dispenser de detergente e esponja; 1 unidade de escorredor de pratos; 1 unidade de rodo de pia; 2 embalagens de perfex para pia (10un); 5 unidades de pano de prato.</t>
  </si>
  <si>
    <t>Mensalidade de medicina e segurança do trabalho (PCMSO). Competência: Maio</t>
  </si>
  <si>
    <t>Mensalidade de medicina e segurança do trabalho (PPRA). Competência: Maio</t>
  </si>
  <si>
    <t>Receita bruta da bilheteria do concerto FORA DE SÉRIE 3, realizado no dia 30/05/2026 na Sala Minas Gerais.</t>
  </si>
  <si>
    <t xml:space="preserve">Doação recebida na conta de RPS -TED LÚCIA G P 05/06.                                                                                                                                                                                                          </t>
  </si>
  <si>
    <t>Vale transporte para a nova jovem aprendiz Maria Clara</t>
  </si>
  <si>
    <t>Impressão de cartazes e panfletos para divulgação dos concertos de Praça e Turnê Estadual dentro da região metropolitana de Belo Horizonte. Ref: Vespasiano</t>
  </si>
  <si>
    <t>Vale transporte de complemetação para a nova jovem aprendiz Maria Clara.</t>
  </si>
  <si>
    <t>Vale transporte para a nova analista de comunicação Juliana Sarti.</t>
  </si>
  <si>
    <t>Plano de saúde corporativo com abrangência nacional. Competência: Junho/2026</t>
  </si>
  <si>
    <t>Impressões digitais para diretoria administrativa financeira.Parceiro PAQ Serviços de Consetos em Maquinas Ltda.</t>
  </si>
  <si>
    <t>Assinatura online com empresa especializada na área de publicações de natureza tributária, contábil, trabalhista e previdênciaria, bem como consultoria por e-mail. Valido por 12 meses.
Periodo: 06/2026 a 05/2027</t>
  </si>
  <si>
    <t>Vale transporte mensal para funcionários que utilizam o transporte pelo sistema DER. Competência: Junho/2026</t>
  </si>
  <si>
    <t>Receita Bruta estacionamento, competência 05/2026.</t>
  </si>
  <si>
    <t xml:space="preserve">Repasse doações não incentivadas recebidas através do site Abrace Uma Causa mes 05/2026. Relatório em anexo.                                                                                                                                                   </t>
  </si>
  <si>
    <t xml:space="preserve">Diferença arredondamento de ISS no sistema da DAS.                                                                                                                                                                                                             </t>
  </si>
  <si>
    <t xml:space="preserve">Depósito judicial referente ao ISS sobre receita da competência Maio/2026
Processo: 50253977120178130024-                                                                                                                                                      </t>
  </si>
  <si>
    <t>Compra de bills para computadores do TJ.Parceiro Setor Info CNPJ 31.674.527/0001-25.</t>
  </si>
  <si>
    <t>Sonorização e iluminação do concerto da OFMG no Parque Ecologico - Pampulha no dia 24/05/2026.</t>
  </si>
  <si>
    <t>Receita locação espaço café, correspondente a 7% da receita bruta total, conforme relatório anexo da competência 05/2026.</t>
  </si>
  <si>
    <t xml:space="preserve">Reembolso ref 1 totem de extensão elétrica com tomadas para atender a demanda do 3° andar  Músicos da OFMG.Parceiro(5463)ABShop(2385)MercadoPago.                                                                                                              </t>
  </si>
  <si>
    <t>Seviço de gerenciamento da plataforma e  suporte para pagamentos através de cartão de crédito, para o módulo Assinaturas 2026, na competência Fevereiro 2026</t>
  </si>
  <si>
    <t>Seviço de gerenciamento da plataforma e  suporte para pagamentos através de cartão de crédito, para o módulo Assinaturas 2026, na competência Março 2026</t>
  </si>
  <si>
    <t>Seviço de gerenciamento da plataforma e  suporte para pagamentos através de cartão de crédito, para o módulo Assinaturas 2026, na competência Abril 2026</t>
  </si>
  <si>
    <t>Contratação do ERP Domínio, Implantação e Treinamento dos módulos Contabilidade, Escrita Fiscal, Atualizar, Patrimônio, Lalur, Folha de Pagamento, Auditoria, Portal do Cliente e Portal do Empregado. 
Número de usuários simultâneos: 5
Competência: maio/2026</t>
  </si>
  <si>
    <t>Renovação contratual anual da licença de uso do software de Ponto Eletrônico. Competência: Junho/2026</t>
  </si>
  <si>
    <t>Mensalidade de internet banda larga de 240MB para a Sala Minas Gerais. Competência: Maio/2026</t>
  </si>
  <si>
    <t>Residual receita Bruta estacionamento, competência 05/2026.</t>
  </si>
  <si>
    <t>Serviço em substiruição de mola quebrada na coloneta do instrumento Clarone Buffet.Parceiro Canto do Sopro Instrumentos Musicais Ltda CNPJ 30.638.899-0001-33.</t>
  </si>
  <si>
    <t xml:space="preserve">Repasse doações incentivadas recebida na conta captação (59904-2) em 08/06/2026. Transferido para a conta movimento em 10/06/2026. Planilha anexa.                                                                                                             </t>
  </si>
  <si>
    <t>Receita Bruta de Assinaturas da temporada 2026 - Segunda chance.</t>
  </si>
  <si>
    <t>Seviço de gerenciamento da plataforma e  suporte para pagamentos através de cartão de crédito, para o módulo Assinaturas 2026- Segunda chance, na competência Maio 2026</t>
  </si>
  <si>
    <t>Compra de biscoitos para reuniões da diretoria. SUPER VAREJAO CARACA LTDA. CNPJ:26.068.130/0003-11.</t>
  </si>
  <si>
    <t>Compra de conector akz para manutenção interna em tomadas do instituto. Parceiro Eletronica Santa Efigenia LTDA CNPJ 00.621.628/0001-32</t>
  </si>
  <si>
    <t xml:space="preserve">Rescisao Ricardo Reis                                                                                                                                                                                                                                          </t>
  </si>
  <si>
    <t xml:space="preserve">FGTS rescisão Ricado Reis                                                                                                                                                                                                                                      </t>
  </si>
  <si>
    <t xml:space="preserve">Ressarcimento de valor referente a utilização equivocada do Correios corporativo.                                                                                                                                                                              </t>
  </si>
  <si>
    <t>Diárias de viagem para Ana Lúcia Kobayashi, referente ao perído de participação na 44a Conferência da MOLA (Associação de Arquivistas de Orquestra). A conferência será realizada entre os dias 19 e 22 de Junho de2026 em Sydney na Austrália.</t>
  </si>
  <si>
    <t>Mensalidade de telefonia fixa para a Sala Minas Gerais, sede do Instituto Cultural Filarmônica. Período, janeiro a dezembro/2026. Competência: Maio/2026</t>
  </si>
  <si>
    <t>Contratação de harpista para atuação junto à Orquestra, a título de complementação de posição necessária ao repertório dos concertos Presto / Veloce 4 nos dias 21 e 22/05/2026 na Sala Minas Gerais.</t>
  </si>
  <si>
    <t>Contratação de serviço de licenciamento de software para registro anônimo de denúncias dos funcionários do Instituto Cultural Filarmônica. Competência: Maio/2026.</t>
  </si>
  <si>
    <t>Contratação de Leonardo Caire, músico de notória qualidade musical, para participação como percussionista junto à Orquestra Filarmônica de MG, a título de complementação de posições necessárias ao repertório nos concertos Allegro/Vivace 3, a serem realizados nos dias 07 e 08 de maio de 2026, na sala Minas Gerais.</t>
  </si>
  <si>
    <t>Manutenção preventiva in-loco em todos os módulos de hardware e software que compõem os Painéis Vídeo Wall instalados na Bilheteria e no Foyer Principal do ICF, incluindo monitores LCD, unidades de controle, periféricos, servidor de aplicação e licenças de software, com garantia integral de funcionamento para todo o conjunto. Competência: Maio/2026</t>
  </si>
  <si>
    <t>Mensalidade para locação de impressoras e franquia de impressões, na sede administrativa do Instituto Cultural Filarmônica. Competência: Abril/2026</t>
  </si>
  <si>
    <t>Locação de ônibus para transporte do projeto social da instituição Salão do Encontro situado em betim para assitirem os concertos da temporada 2026 como contrapartida do patrocinador da Petrobras de acordo com o cronograma das datas:  Dia 26.05- Concerto Câmara 2, Dia 24.06- Concerto Tinta Fresca, Dia 18.08- Concerto Câmera 4 , Dia 28.10 - Concerto L. Regência, Dia 24.11 - Concerto Câmera 6.</t>
  </si>
  <si>
    <t>Locação de palco para os concertos externos da Temporada 2026. o parceiro foi selecionado por meio do Ato Convocatório nº 04/2026, conforme os critérios estabelecidos no referido edital.  Ref: Concerto Pampulha</t>
  </si>
  <si>
    <t>Contratação de Marcelo Penido, músico de notória qualidade musical, pela participação como harpista junto à Orquestra Filarmônica de MG, por meio da empresa COMPANHIA ALMA DELL'ARTE, a título de complementação de posições necessárias ao repertório apresentado no concerto Fora de Série 3 a serem realizados no dia 30/05/2026, na Sala Minas Gerais.</t>
  </si>
  <si>
    <t>Serviço de distribuição de material gráfico para divulgação do concerto externos de Vespasiano.</t>
  </si>
  <si>
    <t>Serviço de distribuição de material gráfico para divulgação do concerto externos da Pampulha.</t>
  </si>
  <si>
    <t>Pedido complementar ao pedido 73919 - cobertura fotográfica do concerto - Pampulha.</t>
  </si>
  <si>
    <t>Contratação de serviço de carro de som para divulgação o concerto Praça Vespasiano</t>
  </si>
  <si>
    <t>Elaboração de projeto de PPCIP para licenciamento da área onde será realizado o concerto da OFMG, no Parque Ecológico da Pampulha no dia 24/05/26.</t>
  </si>
  <si>
    <t>Cobertura fotográfica de 6 concertos da Temporada 2026 da Orquestra Filarmônica de Minas Gerais. Ref: Câmara 2</t>
  </si>
  <si>
    <t>Contratação de serviço de copeira para substituição de ferias da Solange Maria copeira do ICF dos dias 11/05 a 12/06.</t>
  </si>
  <si>
    <t>Equipe de seguranças para os concertos da OFMG em Betim no dia 10/05/2026; Parque Ecologico - Pampulha no dia 24/05/2026; Praça da Matriz  - Vespasiano no dia 06/06/2026; Praça da Glória Bairro Eldorado – Contagem no dia 12/07/2026.</t>
  </si>
  <si>
    <t>Locação de Gerador para os concertos da série Turnê Estadual e Praças, nas cidades de Betim no dia 10/05/2026, Pampulha no dia 24/05/2026, Vespasiano no dia 06/06/2026, Contagem no dia 12/07/2026.</t>
  </si>
  <si>
    <t>Identificação de contêineres de materiais recicláveis, que estão na doca.</t>
  </si>
  <si>
    <t>Cobertura fotográfica de 7 concertos da Temporada 2026 da Orquestra Filarmônica de Minas Gerais. Ref: Presto/Veloce 4</t>
  </si>
  <si>
    <t>Contratação de Mídia OOH para divulgação do concerto externo da Pampulha.</t>
  </si>
  <si>
    <t xml:space="preserve">Pagamento realizado retornou pois dados bancários informados pela cliente estavam incorretos, pagamento foi efetivado 12/06.                                                                                                                                   </t>
  </si>
  <si>
    <t>Compra de frutas para os concertos Allegro &amp; Vivace 4 nos dias 11 e 12/06/2026. SUPER VAREJAO CARACA LTDA. CNPJ:26.068.130/0003-11.</t>
  </si>
  <si>
    <t>Pagamento de taxa de conferencia/homologação de rescisão contratual de Ricardo de Almeida Reis. Sindicato dos Trabalhadores em Entidades Culturais. CNPJ:00.786.960/0001-29</t>
  </si>
  <si>
    <t>Compra de joelho para atender às demandas de manutenção no setor de Operações. Parceiro Ferragens Dias Ltda, CNPJ nº 01.635.506/0001-30.</t>
  </si>
  <si>
    <t>Compra de adaptador bluthooth para computador na sala de reunião. Parceiro Kalunga CNPJ 43.283.811/0034-18.</t>
  </si>
  <si>
    <t>Contratação da montador Felix  de Sena para complementar a equipe de montagem no dia 06/06/2026, Vespasiano.</t>
  </si>
  <si>
    <t>Aquisição de ferramental para o setor de Operações: alicate universal, alicate de corte, alicate de bico, bits (ponteiras) para parafusadeira, brocas de aço rápido (HSS), brocas para alvenaria e jogos de chaves Phillips e de fenda.</t>
  </si>
  <si>
    <t>Contratação de Thelma Lander, músicista de notória qualidade musical, pela participação como pianista junto à Orquestra Filarmônica de MG, a título de complementação de posições necessárias ao repertório apresentado no concerto Fora de Série 3 a serem realizados no dia 30/05/2026, na Sala Minas Gerais.</t>
  </si>
  <si>
    <t>Mensalidade contratual para o serviço de suporte em TI. Competência: Maio</t>
  </si>
  <si>
    <t>Mensalidade contratual para o serviço de suporte em TI durante aos concertos com transmissão ao vivo durante o ano de 2026. Ref: Fora de Série 2</t>
  </si>
  <si>
    <t>Serviços de vigilância externa atraves de câmeras de monitoramento. Competência: Maio/2026.</t>
  </si>
  <si>
    <t xml:space="preserve">Depósito judicial referente ao ISS sobre receita lançamento IT ART -  FORA DE SÉRIE 3 competência Maio/2026 - complementar
Processo: 50253977120178130024-                                                                                                     </t>
  </si>
  <si>
    <t xml:space="preserve">Depósito judicial referente ao IR sobre aplicação financeira, competência Maio/2026 conta 00268-7 (fundos- 201)
</t>
  </si>
  <si>
    <t xml:space="preserve">Depósito judicial referente ao IOF sobre aplicação financeira, competência Maio/2026 - conta 00268-7 (fundos 201).
Número do processo: 00100438120174013800 - ID: 120621000052305107
                                                                          </t>
  </si>
  <si>
    <t xml:space="preserve">Adiantamento referente ao vale transporte para a jovem aprendiz Maria Clara.Parceiro(244)Transfacil.                                                                                                                                                           </t>
  </si>
  <si>
    <t xml:space="preserve">Reembolso da multa de ISS sobre a Nota da Solvit 512.                                                                                                                                                                                                          </t>
  </si>
  <si>
    <t xml:space="preserve">Depósito judicial referente ao IR sobre aplicação financeira, competência Maio/2026 - conta 00267-9 (fundos 201 e 202)
Número do processo: 00.100.43-81.2017.4.01.3800
                                                                                        </t>
  </si>
  <si>
    <t xml:space="preserve">Depósito judicial referente ao IOF sobre aplicação financeira, competência Maio/2026 - conta 00267-9 (fundos 201).
Número do processo: 00100438120174013800
                                                                                                   </t>
  </si>
  <si>
    <t xml:space="preserve">2 a via de cartao Alelo alimentacao Mateus Almeida                                                                                                                                                                                                             </t>
  </si>
  <si>
    <t>Compra de 20 metros de cabo PP de 4 vias de 1mm², para instalação de dois termostatos de controle de valvúla de ar variável na sala do conselho.</t>
  </si>
  <si>
    <t>Veiculação de spots na rádio CBN BH para divulgação da Temporada 2026. Competência: Maio/2026</t>
  </si>
  <si>
    <t>Prêmio do seguro de vida para os funcionários do Instituto. Competência: Maio/2026</t>
  </si>
  <si>
    <t>Despesas com IPTU referente ao Termo de Uso da Sala Minas Gerais. Competência: Abril/2026</t>
  </si>
  <si>
    <t>Despesas com energia elétrica referente ao Termo de Uso da Sala Minas Gerais. Competência: Abril/2026</t>
  </si>
  <si>
    <t>Despesas com água e esgoto referente ao Termo de Uso da Sala Minas Gerais. Competência: Abril/2026</t>
  </si>
  <si>
    <t>Despesas com serviços de manutenção e reparos referente ao Termo de Uso da Sala Minas Gerais. Competência: Abril/2026</t>
  </si>
  <si>
    <t>Despesas com manutenção do sistema de CFTV referente ao Termo de Uso da Sala Minas Gerais. Competência: Abril/2026</t>
  </si>
  <si>
    <t>Procedimento de vacinação para os funcionários. Pagamento realizado mediante boleto e posterior reembolso pelos funcionários por desconto na folha de pagamento de 05/2025.</t>
  </si>
  <si>
    <t>Mensalidade de medicina e segurança do trabalho (PPRA). Competência: Abril</t>
  </si>
  <si>
    <t>Locação da Praça da Sala Minas Gerais, para realização a realização do evento “Alta Fidelidade”, para público estimado entre 3.000 (três mil) e 4.000 (quatro mil) pessoas, sem bilheteria, pela LOCATÁRIA, no dia 20/06/2026</t>
  </si>
  <si>
    <t xml:space="preserve">Taxa de Audição - Principal Percussão e Violoncelo Seção - inscrições entre 01/06/2026 a 19/07/2026 - (Audição 17 e 19 de agosto 2026) - PIX JEFERSON SILVA BARBOSA - 15/06.                                                                                   </t>
  </si>
  <si>
    <t xml:space="preserve">Reembolso valor da multa de ISS pago na guia do DEP JUD referente ao lançamento da IT.ART FDS 3.                                                                                                                                                               </t>
  </si>
  <si>
    <t>Compra de um parafuso para manutenção da caixa de percussão da Clara Piccolo, instalação de novos aros. Parceiro Aslan CNPJ 30.306.949/0001-85</t>
  </si>
  <si>
    <t>Compra de parafusos para manutenção da caixa de percussão da Clara Piccolo, instalação de novos aros. Parceiro Musical LL &amp; Acessorios LTDA CNPJ 63.693.403/0001-83</t>
  </si>
  <si>
    <t xml:space="preserve">Reembolso realizado pela empresa devido cancelamento da compra, realizado tentativa de entrega no final de semana.                                                                                                                                             </t>
  </si>
  <si>
    <t xml:space="preserve">Taxa de Audição - Principal Percussão e Violoncelo Seção - inscrições entre 01/06/2026 a 19/07/2026 - (Audição 17 e 19 de agosto 2026) - PIX MELISSA LIN CORDEIRO - 16/06.                                                                                     </t>
  </si>
  <si>
    <t>Compra de conector para utilizar na nova mesa de iluminação. Parceiro  Comercio Varejista de Iluminação e Se CNPJ 24.778.353/0001-85</t>
  </si>
  <si>
    <t xml:space="preserve">Taxa de Audição - Principal Percussão e Violoncelo Seção - inscrições entre 01/06/2026 a 19/07/2026 - (Audição 17 e 19 de agosto 2026) - PIX SAMARA MORAES DE QUADROS - 17/06.                                                                                 </t>
  </si>
  <si>
    <t xml:space="preserve">COFINS Sobre receita bruta da bilheteria do concerto ESPECIAL MINAS DE TODOS OS SONS, realizado no dia 01/05/2026 na Sala Minas Gerais.                                                                                                                        </t>
  </si>
  <si>
    <t xml:space="preserve">COFINS Sobre receita bruta da bilheteria do concerto ESPECIAL MINAS DE TODOS OS SONS, realizado no dia 02/05/2026 na Sala Minas Gerais.                                                                                                                        </t>
  </si>
  <si>
    <t xml:space="preserve">COFINS Sobre concerto ALEGRO III, realizado no dia 07/05/2026 na Sala Minas Gerais.                                                                                                                                                                            </t>
  </si>
  <si>
    <t xml:space="preserve">COFINS sobre bilheteria do concerto VIVACE III, realizado no dia 08/05/2026 na Sala Minas Gerais.                                                                                                                                                              </t>
  </si>
  <si>
    <t xml:space="preserve">COFINS Sobre ocação da Praça da Sala Minas Gerais para realização a realização do evento de corrida "Mater Run".                                                                                                                                               </t>
  </si>
  <si>
    <t xml:space="preserve">COFINS sobre receita bruta da bilheteria do concerto PRESTO 4, realizado no dia 21/05/2026 na Sala Minas Gerais.                                                                                                                                               </t>
  </si>
  <si>
    <t xml:space="preserve">COFINS sobre receita bruta da bilheteria do concerto VELOCE 04, realizado no dia 22/05/2026 na Sala Minas Gerais.                                                                                                                                              </t>
  </si>
  <si>
    <t xml:space="preserve">COFINS Sobre locação da Sala de Concertos, Sala Multiuso, Foyers do 1° e 2° Pavimento e Praça da Sala Minas Gerais, para realização de evento Mining Hub para
realização no dia 02/06/2026.                                                                    </t>
  </si>
  <si>
    <t>Locação 20% da Praça da Sala Minas Gerais, para realização a realização do evento FEIRA DE VINHOS SUPER NOSSO.</t>
  </si>
  <si>
    <t xml:space="preserve">Cofins sobre Locação 20% da Praça da Sala Minas Gerais, para realização a realização do evento FEIRA DE VINHOS SUPER NOSSO.                                                                                                                                    </t>
  </si>
  <si>
    <t>Locação 60% da Praça da Sala Minas Gerais, para realização a realização do evento FEIRA DE VINHOS SUPER NOSSO.</t>
  </si>
  <si>
    <t xml:space="preserve">Cofins sobre Locação 60% da Praça da Sala Minas Gerais, para realização a realização do evento FEIRA DE VINHOS SUPER NOSSO.                                                                                                                                    </t>
  </si>
  <si>
    <t xml:space="preserve">Cofins Sobre receita locação espaço café, correspondente a 7% da receita bruta total, conforme relatório anexo da competência 05/2026.                                                                                                                         </t>
  </si>
  <si>
    <t xml:space="preserve">Cofins sobre receita Bruta estacionamento, competência 05/2026.                                                                                                                                                                                                </t>
  </si>
  <si>
    <t>Compra diária de pães para os funcionários do ICF a fim de atender a determinação da convenção coletiva dos funcionários do ICF (Sindec). Competência: Maio/2026</t>
  </si>
  <si>
    <t>Contratação do percussionista Lucas Davi de Araujo para atuação junto à Orquestra, a título de complementação de posição necessária ao repertório dos concertos - Praças e Turnês Estaduais. Ensaio 27/04 - Sala Minas Gerais; 10 de maio - TURNÊ ESTADUAL 1 (Betim); 24 de maio - PRAÇA 1(Pampulha); 6 de junho -PRAÇA 2 (Vespasiano)</t>
  </si>
  <si>
    <t>Backup em nuvem, para fins de segurança no caso de haver dano físico ou lógico nos servidores locais. Competência: Julho/2026</t>
  </si>
  <si>
    <t>Serviço de gerenciamento de bilheteria e controle de acesso para a Temporada 2025 (gestão online e bilheteria física). Competência: Maio/2026</t>
  </si>
  <si>
    <t xml:space="preserve">COFINS sobre residual receita Bruta estacionamento, competência 05/2026.                                                                                                                                                                                       </t>
  </si>
  <si>
    <t>Serviços de motoboy realizados no mês de Maio/26.</t>
  </si>
  <si>
    <t>Contratação de violoncelista para atuação junto à Orquestra, a título de complementação de posição necessária ao repertório dos concertos Presto / Veloce 4 nos dias 21 e 22/05/2026 na Sala Minas Gerais.</t>
  </si>
  <si>
    <t>Hospedagem para o violinista Pablo de León, spalla convidado para o concerto Fora de Série 3, no dia 30 de maio de 2026, às 18h, na Sala Minas Gerais.</t>
  </si>
  <si>
    <t>Passagens aéreas para o trompetista Daniel Leal (São Paulo/BH/São Paulo), para os concertos Allegro Vivace 6 a serem realizados nos dias 13/08/2026 a 14/08/2026, na Sala Minas Gerais.</t>
  </si>
  <si>
    <t xml:space="preserve">COFINS Sobre bilheteria do concerto FORA DE SÉRIE 3, realizado no dia 30/05/2026 na Sala Minas Gerais.                                                                                                                                                         </t>
  </si>
  <si>
    <t>Sonorização e iluminação do concertos da OFMG em Vespasiano no dia 06/06/2026, e Contagem no dia 12/07/2026.</t>
  </si>
  <si>
    <t>Passagens aéreas para o percussionista Leonardo Caire (RJ/BH/RJ), para o concerto Fora de Série 4 a ser realizado no dia 04 de julho, na Sala Minas Gerais.</t>
  </si>
  <si>
    <t>Contratação de 04 carregadores para o dia 31/05 e 04 carregadores para o dia 03/06, para a movimentação dos nossos mobiliários do backstage e dos 3 foyers durante os dias do evento do Mining Hub.</t>
  </si>
  <si>
    <t>A Abrace Uma Causa foi contratada para desenvolver e operar  a plataforma tecnológica para venda do programa Amigos da Filarmônica. Valor referente a percentual sobre o arrecadação do Programa Amigos da Filarmônica. Competência: Maio/2026.</t>
  </si>
  <si>
    <t>Despachante para as açoes de licenciamento dos concerto da OFMG no Parque Ecológico Lagoa da Pampulha no dia 24/05/2026.</t>
  </si>
  <si>
    <t>Locação de 04 aquecedores a gas completos para a apresentação da Orquestra Filarmonica na cidade de Vespasiano no dia 06.06 ao lado da  Igreja Matriz  Nossa Senhora de Lourdes - Centro - Vespasiano.</t>
  </si>
  <si>
    <t>Contratação do baixo-barítono Lício Bruno, solista convidado para as óperas "O Segredo de Susanna", de Wolf-Ferrari e "O Telefone", de Menotti, nos concertos Presto e Veloce 3, nos dias 16 e 17 de abril de 2026, às 20h30, na Sala Minas Gerais.</t>
  </si>
  <si>
    <t>Cobertura fotográfica de 7 concertos da Temporada 2026 da Orquestra Filarmônica de Minas Gerais. Ref: Allegro/Vivace 4</t>
  </si>
  <si>
    <t>Contratação de serviço de carro de som para divulgação o concerto Praça Pampulha</t>
  </si>
  <si>
    <t>Fornecimento de 45 kit lanches para o projeto social da instituição Salão do Encontro situado em Betim para assistirem os concertos da temporada 2026 como contrapartida do patrocinador da Petrobras de acordo com o cronograma das datas:  Dia 26.05- Concerto Câmara 2, Dia 24.06- Concerto Tinta Fresca, Dia 18.08- Concerto Câmara 4 , Dia 28.10 - Concerto L. Regência, Dia 24.11 - Concerto Câmara 6.</t>
  </si>
  <si>
    <t>Locação de grades de proteção para a apresentação da Orquestra Filarmônica de Minas Gerais, em Betim no dia 10/05/2026; Parque Ecologico - Pampulha no dia 24/05/2026; Praça da Matriz  - Vespasiano no dia 06/06/2026; Praça da Glória Bairro Eldorado – Contagem no dia 12/07/2026.</t>
  </si>
  <si>
    <t>Banheiros químicos para o público dos concertos da série Filarmônica em  Betim no dia 10/05/2026; Parque Ecologico - Pampulha no dia 24/05/2026; Praça da Matriz  - Vespasiano no dia 06/06/2026; Praça da Glória Bairro Eldorado – Contagem no dia 12/07/2026.</t>
  </si>
  <si>
    <t>Contratação do montador André Barbosa Ferreira Pinto para complementar a equipe de montagem no concertos Juventude 2 e Pampulha.</t>
  </si>
  <si>
    <t>Locação de palco para os concertos externos da Temporada 2026. o parceiro foi selecionado por meio do Ato Convocatório nº 04/2026, conforme os critérios estabelecidos no referido edital.  Ref: Concerto Vespasiano</t>
  </si>
  <si>
    <t>Contratação de Transporte Terrestre para a retirada de caixas de água no Centro Regional da Copasa. Os copos de agua são utilizados em camarins e também para distribuição nos Concertos externos da OFMG.</t>
  </si>
  <si>
    <t>Solicitação de retirada do material antigo impressos gráficos, banner, caixas, descartados pelo ICF e levados para reciclagem.</t>
  </si>
  <si>
    <t>Contratação de transporte executivo para atendimento a solistas e regentes convidados.
Competência: Maio/2026</t>
  </si>
  <si>
    <t>Serviço de afinação dos pianos da Orquestra Filarmonica de MG durante o primeiro semestre de 2026. Competência: Maio/2026</t>
  </si>
  <si>
    <t>Confecção de dois displays em PVC com base, e 4 placas em PVC, ambos com o mapa da Sala Minas Gerais impresso.</t>
  </si>
  <si>
    <t>Serviço de clipagem diária e análise de mídia dos principais veículos impressos (jornais e revistas), digitais, rádios e TVs, com foco na Orquestra Filarmônica de Minas Gerais e no setor cultural. Competência: Junho/2026</t>
  </si>
  <si>
    <t>Veiculação de spots na rádio CBN BH para divulgação da Temporada 2026. Competência: Abril/2026</t>
  </si>
  <si>
    <t>Valor referente aos exames periodicos dos funcionários do ICF.</t>
  </si>
  <si>
    <t>Impressão de 3.425 cartões de acesso aos concertos de assinatura, produzidos para os assinantes da Temporada 2026.</t>
  </si>
  <si>
    <t>Diária de alimentação em razão da viagem por ocasião da visita técnica na cidade de Ouro Preto, no dia 16/06. Período 16/06 às 09h00 às 16h00.</t>
  </si>
  <si>
    <t xml:space="preserve">INSS UNIFICADO CG 05/2026.                                                                                                                                                                                                                                     </t>
  </si>
  <si>
    <t xml:space="preserve">IR UNIFICADO CG 05/2026.                                                                                                                                                                                                                                       </t>
  </si>
  <si>
    <t xml:space="preserve">PIS retido em guia unificada sobre folha CG 05/2026.                                                                                                                                                                                                           </t>
  </si>
  <si>
    <t>Hospedagem para o violinista Pablo de León, spalla convidado para os concertos Allegro &amp; Vivace 4, nos dias 11 e 12 de junho de 2026, às 20h30, na Sala Minas Gerais.</t>
  </si>
  <si>
    <t xml:space="preserve">Pagamento em duplicidade a fornecedora. Parte do valor (1.700,00) foi reembolsado no mesmo dia e valor residual de R$100,00 no dia seguinte 19/06.                                                                                                             </t>
  </si>
  <si>
    <t xml:space="preserve">INSS UNIFICADO PA 05/2026.                                                                                                                                                                                                                                     </t>
  </si>
  <si>
    <t xml:space="preserve">IR UNIFICADO PA 05/2026.                                                                                                                                                                                                                                       </t>
  </si>
  <si>
    <t xml:space="preserve">PIS retido em guia unificada sobre folha PA 05/2026.                                                                                                                                                                                                           </t>
  </si>
  <si>
    <t xml:space="preserve">Pagamento em duplicidade da NF 1385, valor restituido no dia 19/06.                                                                                                                                                                                            </t>
  </si>
  <si>
    <t>Compra de frutas para os concertos Presto &amp; Veloce 4 nos dias 18 e 19/05/2026. SUPER VAREJAO CARACA LTDA. CNPJ:26.068.130/0003-11.</t>
  </si>
  <si>
    <t xml:space="preserve">Valor depositado em nossa conta indevidamente pela fornecedora, foi reembolsado no mesmo dia.                                                                                                                                                                  </t>
  </si>
  <si>
    <t xml:space="preserve">Valor depositado em nossa conta indevidamente pela fornecedora, reembolso realizado no mesmo dia.                                                                                                                                                              </t>
  </si>
  <si>
    <t>Receita bruta da bilheteria do concerto ALLEGRO IV, realizado no dia 11/06/2026 na Sala Minas Gerais.</t>
  </si>
  <si>
    <t>Receita bruta da bilheteria do concerto VIVACE IV, realizado no dia 12/06/2026 na Sala Minas Gerais.</t>
  </si>
  <si>
    <t>Locação da Sala de Concertos, Sala Multiuso, Foyers do 1° e 2° Pavimento da Sala Minas Gerais, para realização do “RH SUMMIT - palestras, coffee break, almoço e apresentações artísticas”, para 1.493 (mil quatrocentos e noventa e três) pessoas, sem bilheteria, pela LOCATÁRIA, nos dias 30 e 31/08/2026</t>
  </si>
  <si>
    <t xml:space="preserve">Transferência de saldo da conta (59904-2 captação) para conta do plano anual 2026 no valor total de R$3.331.231,42.                                                                                                                                            </t>
  </si>
  <si>
    <t xml:space="preserve">Repasse referente a rendimento de aplicação financeira da conta na captação (59904-2) em 24/06/2026. Transferência de saldo para conta do plano anual 2026 no valor total de R$3.331.231,42.                                                                   </t>
  </si>
  <si>
    <t xml:space="preserve">Adiantamento referente a compra de micro-ondas para a copa do 3º andar.Parceiro(5395)Ebazar(2385)MercadoPago.                                                                                                                                                  </t>
  </si>
  <si>
    <t>Cobertura fotográfica de 6 concertos da Temporada 2026 da Orquestra Filarmônica de Minas Gerais. Ref: Presto/Veloce 5</t>
  </si>
  <si>
    <t xml:space="preserve">Adiantamento referente a compra de dois pés de mesa metálicos para substituir os cavaletes de madeira das mesas da sala de reunião e da sala de arquivo do 2º andar.Parceiro(5499)Use Shop(2385)MercadoPago.                                                   </t>
  </si>
  <si>
    <t xml:space="preserve">Reembolso de valor pago em duplicidade da NF 1385 no dia 18/06.                                                                                                                                                                                                </t>
  </si>
  <si>
    <t xml:space="preserve">Repasse aporte recebido na conta captação 59904-2 dia 17/06/26 pela CSN CIMENTOS BRASIL S.A 60.869.336/0001-17 - Repasse dia 19/06 no valor total de 360.011,40                                                                                                </t>
  </si>
  <si>
    <t xml:space="preserve">Taxa de Audição - Principal Percussão e Violoncelo Seção - inscrições entre 01/06/2026 a 19/07/2026 - (Audição 17 e 19 de agosto 2026) - PIX SAMUEL DA SILVA OLIVEIRA                                                                                          </t>
  </si>
  <si>
    <t xml:space="preserve">Taxa de Audição - Principal Percussão e Violoncelo Seção - inscrições entre 01/06/2026 a 19/07/2026 - (Audição 17 e 19 de agosto 2026) - PIX MARCELO WAGNER FOGACA                                                                                             </t>
  </si>
  <si>
    <t xml:space="preserve">Repasse referente a rendimento de aplicação financeira da conta de captação (59904-2) em 17/06/2026. Transferido para a conta movimento dia 19/06 no valor total de 360.011,40.                                                                                </t>
  </si>
  <si>
    <t>Compra de tinta e massa para o totem do busto de Itamar Franco. Operações. Parceiro Real Comercio LTDA CNPJ 19.972.249/0050-75</t>
  </si>
  <si>
    <t>Repassado ao funcionário Paulo Cesar correspondente a passagens de ônibus para deslocamentos em demandas administrativas. Paulo Cesar.</t>
  </si>
  <si>
    <t>Prolongador para fixar placa de acrílico do busto no foyer. Sociedade Ferragista inês e filhos CNPJ: 05.444.600/0001-62.</t>
  </si>
  <si>
    <t>Contratação e matrícula de 5 jovens aprendizes em curso de aprendizagem em escola de ensino social profissionalizante. Competência: Maio/2026</t>
  </si>
  <si>
    <t>Compra de itens de material de escritório - 4 unidades de telefone fixo; 1 unidade de mouse USB; 1 embalagem de papel flipchart (50 un); 1 unidade de organizador de documentos vertical de 3 divisórias; 1 unidade de estilete emborrachado; 1 caixa de papel sulfite tamanho OFÍCIO; 1 pacote de capa para encadernação (preto) tamanho OFÍCIO; 1 pacote de capa para encadernação (transparente) tamanho OFÍCIO; 1 caixa de lápis 4B; 1 pacote de fita transparente para empacotamento (5 un); 1 caixa de clips nº 2/0; 1 unidade de caneta fixa com corrente para balcão.</t>
  </si>
  <si>
    <t>Compra de 2 CABOS USB A-M/A-M , 2 CABOS HDMI/HDMI, 1 CABOS EXTENSOR USB e 1 CARREGADOR TOMADA USB-C, Esses equipamentos são para melhoria da estrutura das 3 salas de reuniões, proporcionando maior eficiência nas apresentações, videoconferências e alinhamentos internos.</t>
  </si>
  <si>
    <t>Mensalidade referente a licença de uso do sistema de gestão Sankhya-W e Licença de Uso da plataforma "Universidade Sankhya" (sistema Sankhya OM - Sistema de Gestão Empresarial Sankhya OM - Competência Junho/2026</t>
  </si>
  <si>
    <t>Mensalidade de internet banda larga de 600MB para o Instituto Cultural Filarmônica. Competência: Maio/2026</t>
  </si>
  <si>
    <t>Compra de bandeira (Minas Gerais) para solenidade. Parceiro WGil Comercio e Confecções de Bandeira LTDA CNPJ 29.308.128/0001-07</t>
  </si>
  <si>
    <t>Compra de pilhas e baterias para os equipamentos do setor de operações, As pilhas são para os termômetros dentro da sala de concerto, sala do piano e sala de instrumentos</t>
  </si>
  <si>
    <t>Compra de caixas organizadoras para armazenamento de materiais gráficos do departamento de Marketing e Comunicação.</t>
  </si>
  <si>
    <t>Serviço de impressão gráfica dos certificados e das cédulas de votação para o Festival Tinta Fresca.</t>
  </si>
  <si>
    <t>Contratação de serviço temporário para auxiliar nas tarefas do marketing referentes à aprovação de marcas das peças gráficas impressas e digitais e relacionmento com os patrocinadores. Competência: Junho/2026</t>
  </si>
  <si>
    <t>Reembolso contratual de despesas necessárias ao atendimento do Instituto Cultural Filarmônica no deslocamento da reunião do conselho consultivo do ICF dia 03/04/2026 e despesas de locomoção de ida e volta do tribunal regional federal da 6° região para despacho do processo n° 0033249-78.2017.4.01.0000 dia 11/06/2026.Relação de documentos que compõe as despesas: 4 recibos de deslocamentos da Uber.</t>
  </si>
  <si>
    <t>Repassado ao funcionário Paulo Cesar correspondente a passagens de ônibus para deslocamentos em demandas administrativas. Paulo Cesar</t>
  </si>
  <si>
    <t>Compra de tinta para pedestal do busto de Itamar Franco. Operações. Parceiro Real Comercio LTDA CNPJ 19.972.249/0050-75</t>
  </si>
  <si>
    <t xml:space="preserve">Adiantamento referente ao aluguel do Teatro Arthur Azevedo em São Luis MA, onde acontecerá o concerto da OFMG no dia 24 de julho de 2026.Turnê Nacional.Parceiro(5488)Instituto Coletivo Consciente.                                                           </t>
  </si>
  <si>
    <t>Locação da Praça da Sala Minas Gerais, para realização a realização do evento FEIRA DE VINHOS SUPER NOSSO,
para público estimado entre 3.000 (três mil) e 4.000 (quatro mil) pessoas, sem bilheteria, pela LOCATÁRIA,</t>
  </si>
  <si>
    <t xml:space="preserve">Doação recebida na conta de RPS - PIX TRANSF JOSE OL 24/06.                                                                                                                                                                                                    </t>
  </si>
  <si>
    <t>Serviço de costura de tecido para o busto de Itamar Franco. Parceiro Ateliê Essencia da Costura.</t>
  </si>
  <si>
    <t>Recolhimento de direitos autorais, via ECAD, pelo repertório apresentado no Concerto na Praça da matriz em Vespasiano. e parque ecologico da pampulha.</t>
  </si>
  <si>
    <t>Hospedagem para Jdiordy Lucca, musicista de notória qualidade musical, para participação como trompista junto à Orquestra Filarmônica de MG, a título de complementação de posições necessárias ao repertório nos concertos Allegro/Vivace 4, a serem realizados nos dias 11 e 12/06/2026 na sala Minas Gerais.</t>
  </si>
  <si>
    <t>Contratação do serviço de operação audiovisual para 16 concertos da orquestra Filarmônica de Minas Gerais, com transmissão ao vivo, durante a temporada 2026. Ref: Allegro/Vivace 4</t>
  </si>
  <si>
    <t>Contratação de serviço de revisão de conteúdos: programas impressos, peças gráficas digitais, e-mails, demais materiais impressos e outros materiais produzidos pelo Departamento de Comunicação. Competência: Junho/2026</t>
  </si>
  <si>
    <t>Passagem aérea internacional (Frankfurt - Belo Horizonte - Frankfurt) para o violinista Guido Sant'Anna, solista convidado para os concertos Presto e Veloce 6, nos dias 06 e 07 de agosto de 2026, às 20h30, na Sala Minas Gerais.</t>
  </si>
  <si>
    <t>Contratação do violinista Pablo de Leon, spalla convidado para os concertos: Fora de Série 3, no dia 30/05/2026, às 18h; Allegro e Vivace 4, nos dias 11 e 12/06/2026, às 20h30; Allegro  e Vivace 5, nos dias 09 e 10/07/2026, às 20h30, na Sala Minas Gerais.</t>
  </si>
  <si>
    <t>Contratação de JDIORDY LUCCA CAMARGO SILVA, músico de notória qualidade musical, para participação como trompista junto à Orquestra Filarmônica de MG, a título de complementação de posições necessárias ao repertório nos concertos Allegro/Vivace 4, a serem realizados nos dias 11 e 12 de junho de 2026, na sala Minas Gerais.</t>
  </si>
  <si>
    <t>Contratação do serviço de direção de imagens para 16 concertos da orquestra Filarmônica de Minas Gerais, com transmissão ao vivo, durante a temporada 2026. Ref: Allegro/Vivace 4</t>
  </si>
  <si>
    <t>Passagem aérea para o músico contratado para complementação do naipe de trompa, para inicio das atividades.</t>
  </si>
  <si>
    <t>Passagens aéreas para o trompetista Flavio Gabriel (São Paulo/BH/São Paulo), para os concertos Allegro Vivace 6 a serem realizados nos dias 13/08/2026 a 14/08/2026, na Sala Minas Gerais.</t>
  </si>
  <si>
    <t>Hospedagem para o violoncelista Santiago Cañon-Valencia, solista convidado dos concertos Allegro e Vivace 4, nos dias 11 e 12 de junho de 2026,às 20h30, na Sala Minas Gerais.</t>
  </si>
  <si>
    <t>Contratação do serviço de redação, revisão e edição de textos das séries AV e PV da Temporada 2026. Competência: Junho/2026</t>
  </si>
  <si>
    <t>Contratação de assessoria contábil. Competência: Junho/2026</t>
  </si>
  <si>
    <t>Contratação de Rafael de Mello Matos, músico de notória qualidade musical, para participação como percussionista junto à Orquestra Filarmônica de MG, a título de complementação de posições necessárias ao repertório nos concertos Presto Veloce 4, a serem realizados nos dias 21 e 22 de maio de 2026, na sala Minas Gerais.</t>
  </si>
  <si>
    <t>Receita bruta da bilheteria do concerto PRESTO V, realizado no dia 18/06/2026 na Sala Minas Gerais.</t>
  </si>
  <si>
    <t>Receita bruta da bilheteria do concerto VELOCE V, realizado no dia 19/06/2026 na Sala Minas Gerais.</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</si>
  <si>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Maio/2026</t>
  </si>
  <si>
    <t xml:space="preserve">Devolução de taxa de Audição - Principal Violino e trompa- inscrições entre 04/05/2026 a 24/05/2026 - (Audição 13 e 14 de junho 2026)  - PIX QRS GABRIEL PEREIRA DA SILVA - 25/06.                                                                             </t>
  </si>
  <si>
    <t xml:space="preserve">Devolução de taxa de Audição - Principal Violino e trompa- inscrições entre 04/05/2026 a 24/05/2026 - (Audição 13 e 14 de junho 2026)  - PIX QRS ADRIANO VENANCIO - 25/06.                                                                                     </t>
  </si>
  <si>
    <t xml:space="preserve">Devolução de taxa de Audição - Principal Violino e trompa- inscrições entre 04/05/2026 a 24/05/2026 - (Audição 13 e 14 de junho 2026)  - PIX QRS GERSON PIEROTTI - 25/06.                                                                                      </t>
  </si>
  <si>
    <t xml:space="preserve">Devolução de taxa de Audição - Principal Violino e trompa- inscrições entre 04/05/2026 a 24/05/2026 - (Audição 13 e 14 de junho 2026)  - PIX QRS DIEGO VIANNA - 25/06.                                                                                         </t>
  </si>
  <si>
    <t xml:space="preserve">Devolução de taxa de Audição - Principal Violino e trompa- inscrições entre 04/05/2026 a 24/05/2026 - (Audição 13 e 14 de junho 2026)  - PIX QRS ALEXANDRE REIS 25/06.                                                                                         </t>
  </si>
  <si>
    <t xml:space="preserve">Devolução de taxa de Audição - Principal Violino e trompa- inscrições entre 04/05/2026 a 24/05/2026 - (Audição 13 e 14 de junho 2026)  - PIX QRS LUDWIG VAN BEETHOVEN SILVA.                                                                                   </t>
  </si>
  <si>
    <t xml:space="preserve">Devolução de taxa de Audição - Principal Violino e trompa- inscrições entre 04/05/2026 a 24/05/2026 - (Audição 13 e 14 de junho 2026)  - PIX QRS GILIEDER JOSADAQUE                                                                                            </t>
  </si>
  <si>
    <t xml:space="preserve">Devolução de taxa de Audição - Principal Violino e trompa- inscrições entre 04/05/2026 a 24/05/2026 - (Audição 13 e 14 de junho 2026)  - PIX QRS GUILHERME CATÃO                                                                                               </t>
  </si>
  <si>
    <t xml:space="preserve">Devolução de taxa de Audição - Principal Violino e trompa- inscrições entre 04/05/2026 a 24/05/2026 - (Audição 13 e 14 de junho 2026)  - PIX QRS HENRIQUE DOS SANTOS                                                                                           </t>
  </si>
  <si>
    <t xml:space="preserve">Devolução de taxa de Audição - Principal Violino e trompa- inscrições entre 04/05/2026 a 24/05/2026 - (Audição 13 e 14 de junho 2026)  - PIX QRS NATHALIA SOUSA                                                                                                </t>
  </si>
  <si>
    <t xml:space="preserve">Devolução de taxa de Audição - Principal Violino e trompa- inscrições entre 04/05/2026 a 24/05/2026 - (Audição 13 e 14 de junho 2026)  - PIX QRS TASSIO VIEIRA                                                                                                 </t>
  </si>
  <si>
    <t xml:space="preserve">Devolução de taxa de Audição - Principal Violino e trompa- inscrições entre 04/05/2026 a 24/05/2026 - (Audição 13 e 14 de junho 2026)  - PIX QRS RODRIGO MONTEIRO BRAGA                                                                                        </t>
  </si>
  <si>
    <t xml:space="preserve">Devolução de taxa de Audição - Principal Violino e trompa- inscrições entre 04/05/2026 a 24/05/2026 - (Audição 13 e 14 de junho 2026)  - PIX QRS DIEGO ADINOLFI                                                                                                </t>
  </si>
  <si>
    <t xml:space="preserve">Devolução de taxa de Audição - Principal Violino e trompa- inscrições entre 04/05/2026 a 24/05/2026 - (Audição 13 e 14 de junho 2026)  - PIX QRS MATEUS LISBOA                                                                                                 </t>
  </si>
  <si>
    <t xml:space="preserve">Devolução de taxa de Audição - Principal Violino e trompa- inscrições entre 04/05/2026 a 24/05/2026 - (Audição 13 e 14 de junho 2026)  - PIX QRS DANIEL SOARES                                                                                                 </t>
  </si>
  <si>
    <t xml:space="preserve">Devolução de taxa de Audição - Principal Violino e trompa- inscrições entre 04/05/2026 a 24/05/2026 - (Audição 13 e 14 de junho 2026)  - PIX QRS JDIORDY LUCCA CAMARGO                                                                                         </t>
  </si>
  <si>
    <t xml:space="preserve">Devolução de taxa de Audição - Principal Violino e trompa- inscrições entre 04/05/2026 a 24/05/2026 - (Audição 13 e 14 de junho 2026)  - PIX QRS EVANDRO DANIEL                                                                                                </t>
  </si>
  <si>
    <t xml:space="preserve">Devolução de taxa de Audição - Principal Violino e trompa- inscrições entre 04/05/2026 a 24/05/2026 - (Audição 13 e 14 de junho 2026)  - PIX QRS EVGUENI GERASSIMOV                                                                                            </t>
  </si>
  <si>
    <t xml:space="preserve">Devolução de taxa de Audição - Principal Violino e trompa- inscrições entre 04/05/2026 a 24/05/2026 - (Audição 13 e 14 de junho 2026)  - PIX QRS THAIS DE SOUZA MORAES                                                                                         </t>
  </si>
  <si>
    <t>Compra de conector para transmissão de energia no 4°andar, cobertura do evento da secretaria de turismo. Parceiro Loja Eletrica LTDA CNPJ 17.155.342/0004-26</t>
  </si>
  <si>
    <t xml:space="preserve">FGTS rescisão Isaac Pires                                                                                                                                                                                                                                      </t>
  </si>
  <si>
    <t xml:space="preserve">FGTS rescisão Rafael Costa                                                                                                                                                                                                                                     </t>
  </si>
  <si>
    <t xml:space="preserve">Rescisao RAFAEL COSTA                                                                                                                                                                                                                                          </t>
  </si>
  <si>
    <t xml:space="preserve">Rescisao ISAAC PIRES                                                                                                                                                                                                                                           </t>
  </si>
  <si>
    <t xml:space="preserve">2 a via de cartao Alelo alimentacao Roberta Arruda                                                                                                                                                                                                             </t>
  </si>
  <si>
    <t xml:space="preserve">Repasse doações incentivadas recebida na conta captação (59904-2) em 24/06/2026. Transferido para a conta movimento em 26/06/2026 na tranferencia de 185.008,12                                                                                                </t>
  </si>
  <si>
    <t xml:space="preserve">Repasse referente a rendimento de aplicação financeira da conta de captação (59904-2) em 24/06/2026. Transferido para a conta movimento em 26/06/2026 na tranferencia de 185.008,12                                                                            </t>
  </si>
  <si>
    <t>Compra de tecido para cobrir o busto de Itamar Franco. Parceiro Couto Comercio de Tecidos LTDA CNPJ 13.554.286/0001-07</t>
  </si>
  <si>
    <t xml:space="preserve">Doação recebida na conta de RPS - PIX TRANSF AMG BRASIL - 26/06.                                                                                                                                                                                               </t>
  </si>
  <si>
    <t>Serviço de manutenção preventiva/corretiva dos 10 elevadores do predio da Sala Minas Gerais. Competência: Maio/2026.</t>
  </si>
  <si>
    <t>Serviço de manutenção preventiva/corretiva dos 10 elevadores do predio da Sala Minas Gerais. Competência: Abril/2026.</t>
  </si>
  <si>
    <t>Contratação da psicóloga e terapeuta ocupacional Priscila Fuzikawa, para ministrar uma palestra sobre Performance e Ansiedade aos alunos da Academia Filarmônica, no dia 03/06/2026, de 14h30min às 16h30min.</t>
  </si>
  <si>
    <t>Compra de refrigerante para Recital I 2026. Parceiro DMA Distribuidora CNPJ 01.928.075/0016-86</t>
  </si>
  <si>
    <t>Compra de frutas para Recital I 2026. Parceiro Super Varejão Caraca LTDA CNPJ 26.0681300.003-11</t>
  </si>
  <si>
    <t>Compra de frutas para o Recital I 2026. Parceiro Super Varejão Caraca LTDA CNPJ 26.0681300.003-11</t>
  </si>
  <si>
    <t xml:space="preserve">Rescisao GRAZIANO DE CARVALHO                                                                                                                                                                                                                                  </t>
  </si>
  <si>
    <t xml:space="preserve">Rescisao Jorge Correia                                                                                                                                                                                                                                         </t>
  </si>
  <si>
    <t xml:space="preserve">Férias Lucas Requeijo 07/2026                                                                                                                                                                                                                                  </t>
  </si>
  <si>
    <t xml:space="preserve">Férias WALACE MARIANO 07/2026                                                                                                                                                                                                                                  </t>
  </si>
  <si>
    <t>Locação de 1 NO-BREAK'S para serem utilizados nas trasmissões online dos concertos. Competência: Junho/2026.</t>
  </si>
  <si>
    <t>Link dedicado responsavel pela transmissão da Filarmonica digital e backup dos links de internet. Competência: Junho/2026.</t>
  </si>
  <si>
    <t>Compra de suporte para notebook do Joaquim. Parceiro Leitura CNPJ 18741504000128</t>
  </si>
  <si>
    <t>Pagamento de taxa de homologação de rescisão contratual de Graziano de Carvalho e Jorge Luis Lima Correia. Sindicato dos Trabalhadores em Entidades Culturais. CNPJ:00.786.960/0001-29</t>
  </si>
  <si>
    <t>Compra de porta copo para a copa. Distribuidora Triangulo LTDA CNPJ 17.498.163/0006-53</t>
  </si>
  <si>
    <t>Compra de manteiga para reposicao da copa. DMA DISTRIBUIDORA SA. CNPJ:01.928.075/0016-86</t>
  </si>
  <si>
    <t xml:space="preserve">FGTS rescisão Jorge correia                                                                                                                                                                                                                                    </t>
  </si>
  <si>
    <t xml:space="preserve">FGTS rescisão Graziano de Carvalho                                                                                                                                                                                                                             </t>
  </si>
  <si>
    <t xml:space="preserve">2a via cartao vale transporte Meire Augusta                                                                                                                                                                                                                    </t>
  </si>
  <si>
    <t xml:space="preserve">Rendimento aplicação financeira Junho/2026.                                                                                                                                                                                                                    </t>
  </si>
  <si>
    <t xml:space="preserve">IR Rendimento aplicação Junho/2026.                                                                                                                                                                                                                            </t>
  </si>
  <si>
    <t xml:space="preserve">Rendimento aplicação financeira conta movimento referente ao mês de Junho/2026.                                                                                                                                                                                </t>
  </si>
  <si>
    <t xml:space="preserve">IR rendimento apllicação financeira PLANO ANUAL 2026 mes de Junho/2026.                                                                                                                                                                                        </t>
  </si>
  <si>
    <t xml:space="preserve">Adiantamento referente ao vale cultura mensal para os funcionários do ICF. Competência: Julho/2026.Parceiro(14)Alelo.                                                                                                                                          </t>
  </si>
  <si>
    <t xml:space="preserve">Adiantamento referente ao vale refeição mensal para os funcionários do ICF. Competência: Julho/2026.Parceiro(14)Alelo.                                                                                                                                         </t>
  </si>
  <si>
    <t xml:space="preserve">Adiantamento referente ao vale transporte mensal para os funcionários do ICF, que utilizam o tranporte pelo sistema Transfacil.Competência: Julho/2025.Parceiro(244)Transfacil.                                                                                </t>
  </si>
  <si>
    <t xml:space="preserve">Adiantamento referente ao vale transporte mensal para funcionários que utilizam o transporte pelo sistema DER. Competência: Julho/2026.Parceiro(245)Consorcio Otimo.                                                                                           </t>
  </si>
  <si>
    <t xml:space="preserve">Pagamento em duplicidade a fornecedora. Parte do valor (2.700,00) foi reembolsado no mesmo dia e valor residual de R$100,00 no dia seguinte 19/06.                    </t>
  </si>
  <si>
    <t>Fornecimento de lanche para reunião mensal de alinhamento e integração com os colaboradores do Instituto.</t>
  </si>
  <si>
    <t>Compra  frutas para o festival Tinta Fresca. SUPER VAREJAO CARACA LTDA. CNPJ:26.068.130/0003-11.</t>
  </si>
  <si>
    <t>Compra de refrigerante para reunião mensal de alinhamento e integração com os colaboradores do Instituto. Parceiro DMA Distribuidora CNPJ 01.928.075/0016-86</t>
  </si>
  <si>
    <t>Switch UniFi Pro Aggregation (USW-ProAggregation) Ubiquiti</t>
  </si>
  <si>
    <t>MUNDO DA REDE DISTRIBUIÇÃO E COMERCIO LTDA</t>
  </si>
  <si>
    <t>14.688.361/0001-87</t>
  </si>
  <si>
    <t>Prestação de serviços de captação de áudio na transmissão ao vivo do Concerto Allegro &amp; Vivace 4, (11/06), da Orquestra Filarmônica de Minas Gerais,</t>
  </si>
  <si>
    <t>Mensalidade de telefonia móvel e modens móveis para o Instituto Cultural Filarmônica. Competência: maio/2026.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</si>
</sst>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R$ &quot;* #,##0.00_);_(&quot;R$ &quot;* \(#,##0.00\);_(&quot;R$ &quot;* &quot;-&quot;??_);_(@_)"/>
    <numFmt numFmtId="165" formatCode="_(* #,##0.00_);_(* \(#,##0.00\);_(* &quot;-&quot;??_);_(@_)"/>
    <numFmt numFmtId="166" formatCode="dd/mm/yy;@"/>
    <numFmt numFmtId="167" formatCode="mmm/yyyy"/>
    <numFmt numFmtId="168" formatCode="_(* #,##0.000_);_(* \(#,##0.000\);_(* &quot;-&quot;??_);_(@_)"/>
  </numFmts>
  <fonts count="48">
    <font>
      <sz val="10"/>
      <name val="Arial"/>
    </font>
    <font>
      <sz val="11"/>
      <color theme="1"/>
      <name val="Calibri"/>
      <family val="2"/>
      <scheme val="minor"/>
    </font>
    <font>
      <sz val="10"/>
      <name val="Arial"/>
      <family val="2"/>
    </font>
    <font>
      <sz val="10"/>
      <name val="Arial"/>
      <family val="2"/>
    </font>
    <font>
      <b/>
      <sz val="12"/>
      <name val="Arial"/>
      <family val="2"/>
    </font>
    <font>
      <b/>
      <sz val="11"/>
      <name val="Arial"/>
      <family val="2"/>
    </font>
    <font>
      <sz val="10"/>
      <name val="Times New Roman"/>
      <family val="1"/>
    </font>
    <font>
      <b/>
      <u/>
      <sz val="10"/>
      <name val="Arial"/>
      <family val="2"/>
    </font>
    <font>
      <b/>
      <u/>
      <sz val="14"/>
      <name val="Arial"/>
      <family val="2"/>
    </font>
    <font>
      <sz val="11"/>
      <name val="Arial"/>
      <family val="2"/>
    </font>
    <font>
      <b/>
      <sz val="10"/>
      <name val="Arial"/>
      <family val="2"/>
    </font>
    <font>
      <b/>
      <sz val="9"/>
      <name val="Arial"/>
      <family val="2"/>
    </font>
    <font>
      <sz val="9"/>
      <name val="Arial"/>
      <family val="2"/>
    </font>
    <font>
      <sz val="8"/>
      <name val="Arial"/>
      <family val="2"/>
    </font>
    <font>
      <b/>
      <sz val="8"/>
      <name val="Arial"/>
      <family val="2"/>
    </font>
    <font>
      <sz val="12"/>
      <name val="Arial"/>
      <family val="2"/>
    </font>
    <font>
      <sz val="10"/>
      <name val="Arial Narrow"/>
      <family val="2"/>
    </font>
    <font>
      <b/>
      <sz val="16"/>
      <name val="Arial"/>
      <family val="2"/>
    </font>
    <font>
      <b/>
      <sz val="7"/>
      <name val="Arial"/>
      <family val="2"/>
    </font>
    <font>
      <sz val="7"/>
      <name val="Arial"/>
      <family val="2"/>
    </font>
    <font>
      <sz val="7.8"/>
      <name val="Arial"/>
      <family val="2"/>
    </font>
    <font>
      <b/>
      <sz val="7.8"/>
      <name val="Arial"/>
      <family val="2"/>
    </font>
    <font>
      <b/>
      <i/>
      <sz val="8"/>
      <name val="Arial"/>
      <family val="2"/>
    </font>
    <font>
      <b/>
      <sz val="10"/>
      <name val="Times New Roman"/>
      <family val="1"/>
    </font>
    <font>
      <b/>
      <sz val="14"/>
      <name val="Arial"/>
      <family val="2"/>
    </font>
    <font>
      <sz val="10"/>
      <name val="Arial"/>
      <family val="2"/>
    </font>
    <font>
      <sz val="11"/>
      <color theme="1"/>
      <name val="Calibri"/>
      <family val="2"/>
      <scheme val="minor"/>
    </font>
    <font>
      <sz val="8"/>
      <color theme="1"/>
      <name val="Arial"/>
      <family val="2"/>
    </font>
    <font>
      <sz val="11"/>
      <color theme="1"/>
      <name val="Arial"/>
      <family val="2"/>
    </font>
    <font>
      <sz val="9"/>
      <color theme="1"/>
      <name val="Arial"/>
      <family val="2"/>
    </font>
    <font>
      <b/>
      <sz val="11"/>
      <color theme="1"/>
      <name val="Arial"/>
      <family val="2"/>
    </font>
    <font>
      <b/>
      <sz val="9"/>
      <color theme="0"/>
      <name val="Arial"/>
      <family val="2"/>
    </font>
    <font>
      <sz val="8"/>
      <name val="Arial"/>
      <family val="2"/>
    </font>
    <font>
      <sz val="11"/>
      <color indexed="10"/>
      <name val="Arial"/>
      <family val="2"/>
    </font>
    <font>
      <sz val="10"/>
      <color theme="1"/>
      <name val="Arial"/>
      <family val="2"/>
    </font>
    <font>
      <b/>
      <sz val="10"/>
      <color theme="1"/>
      <name val="Arial"/>
      <family val="2"/>
    </font>
    <font>
      <b/>
      <sz val="17"/>
      <name val="Arial"/>
      <family val="2"/>
    </font>
    <font>
      <sz val="8"/>
      <name val="Arial"/>
      <family val="2"/>
    </font>
    <font>
      <sz val="10"/>
      <name val="Calibri"/>
      <family val="2"/>
      <scheme val="minor"/>
    </font>
    <font>
      <sz val="9"/>
      <color indexed="72"/>
      <name val="Arial"/>
      <family val="2"/>
    </font>
    <font>
      <sz val="7"/>
      <color indexed="72"/>
      <name val="SansSerif"/>
    </font>
    <font>
      <sz val="10"/>
      <name val="SansSerif"/>
    </font>
    <font>
      <sz val="9"/>
      <name val="Calibri"/>
      <family val="2"/>
      <scheme val="minor"/>
    </font>
    <font>
      <sz val="9"/>
      <color rgb="FFFF0000"/>
      <name val="Arial"/>
      <family val="2"/>
    </font>
    <font>
      <sz val="10"/>
      <color rgb="FFFF0000"/>
      <name val="Arial"/>
      <family val="2"/>
    </font>
    <font>
      <sz val="9"/>
      <color rgb="FF00B050"/>
      <name val="Arial"/>
      <family val="2"/>
    </font>
    <font>
      <sz val="11"/>
      <name val="Calibri"/>
      <family val="2"/>
    </font>
    <font>
      <sz val="9"/>
      <color rgb="FF00000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rgb="FFFFFFFF"/>
      </patternFill>
    </fill>
    <fill>
      <patternFill patternType="solid">
        <fgColor rgb="FFFFFFFF"/>
        <bgColor rgb="FFFFFFFF"/>
      </patternFill>
    </fill>
    <fill>
      <patternFill patternType="solid">
        <fgColor rgb="FFFFFFFF"/>
        <bgColor rgb="FF000000"/>
      </patternFill>
    </fill>
  </fills>
  <borders count="65">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top style="medium">
        <color auto="1"/>
      </top>
      <bottom style="thin">
        <color auto="1"/>
      </bottom>
      <diagonal/>
    </border>
    <border>
      <left/>
      <right style="thin">
        <color indexed="64"/>
      </right>
      <top style="thin">
        <color indexed="64"/>
      </top>
      <bottom style="medium">
        <color auto="1"/>
      </bottom>
      <diagonal/>
    </border>
    <border>
      <left style="thin">
        <color auto="1"/>
      </left>
      <right/>
      <top style="thin">
        <color auto="1"/>
      </top>
      <bottom style="medium">
        <color auto="1"/>
      </bottom>
      <diagonal/>
    </border>
    <border>
      <left/>
      <right/>
      <top style="double">
        <color indexed="64"/>
      </top>
      <bottom style="thin">
        <color indexed="64"/>
      </bottom>
      <diagonal/>
    </border>
    <border>
      <left style="dotted">
        <color indexed="64"/>
      </left>
      <right style="dott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style="dotted">
        <color indexed="64"/>
      </left>
      <right/>
      <top style="thin">
        <color indexed="64"/>
      </top>
      <bottom style="thin">
        <color indexed="64"/>
      </bottom>
      <diagonal/>
    </border>
    <border>
      <left style="hair">
        <color indexed="64"/>
      </left>
      <right style="hair">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top style="thin">
        <color indexed="64"/>
      </top>
      <bottom style="double">
        <color rgb="FF000000"/>
      </bottom>
      <diagonal/>
    </border>
    <border>
      <left/>
      <right style="thin">
        <color indexed="64"/>
      </right>
      <top style="thin">
        <color indexed="64"/>
      </top>
      <bottom style="double">
        <color rgb="FF000000"/>
      </bottom>
      <diagonal/>
    </border>
    <border>
      <left/>
      <right/>
      <top style="double">
        <color rgb="FF000000"/>
      </top>
      <bottom style="double">
        <color rgb="FF000000"/>
      </bottom>
      <diagonal/>
    </border>
    <border>
      <left style="thin">
        <color indexed="64"/>
      </left>
      <right/>
      <top style="double">
        <color rgb="FF000000"/>
      </top>
      <bottom style="double">
        <color rgb="FF000000"/>
      </bottom>
      <diagonal/>
    </border>
    <border>
      <left/>
      <right style="thin">
        <color indexed="64"/>
      </right>
      <top style="double">
        <color rgb="FF000000"/>
      </top>
      <bottom style="double">
        <color rgb="FF000000"/>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thin">
        <color indexed="64"/>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style="hair">
        <color indexed="8"/>
      </left>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hair">
        <color indexed="8"/>
      </bottom>
      <diagonal/>
    </border>
  </borders>
  <cellStyleXfs count="16">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5" fillId="0" borderId="0"/>
    <xf numFmtId="0" fontId="2" fillId="0" borderId="0"/>
    <xf numFmtId="0" fontId="26"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1" fillId="0" borderId="0"/>
    <xf numFmtId="165" fontId="1" fillId="0" borderId="0" applyFont="0" applyFill="0" applyBorder="0" applyAlignment="0" applyProtection="0"/>
  </cellStyleXfs>
  <cellXfs count="567">
    <xf numFmtId="0" fontId="0" fillId="0" borderId="0" xfId="0"/>
    <xf numFmtId="0" fontId="0" fillId="2" borderId="0" xfId="0" applyFill="1"/>
    <xf numFmtId="0" fontId="3" fillId="2" borderId="0" xfId="0" applyFont="1" applyFill="1"/>
    <xf numFmtId="0" fontId="10" fillId="2" borderId="0" xfId="0" applyFont="1" applyFill="1" applyAlignment="1">
      <alignment horizontal="left" vertical="center"/>
    </xf>
    <xf numFmtId="0" fontId="7" fillId="2" borderId="0" xfId="0" applyFont="1" applyFill="1" applyAlignment="1">
      <alignment horizontal="center"/>
    </xf>
    <xf numFmtId="0" fontId="9" fillId="2" borderId="0" xfId="0" applyFont="1" applyFill="1"/>
    <xf numFmtId="0" fontId="9" fillId="2" borderId="0" xfId="0" applyFont="1" applyFill="1" applyAlignment="1">
      <alignment horizontal="center"/>
    </xf>
    <xf numFmtId="0" fontId="2" fillId="2" borderId="0" xfId="0" applyFont="1" applyFill="1"/>
    <xf numFmtId="4" fontId="10" fillId="2" borderId="0" xfId="0" applyNumberFormat="1" applyFont="1" applyFill="1" applyAlignment="1">
      <alignment horizontal="center" vertical="center"/>
    </xf>
    <xf numFmtId="165" fontId="10" fillId="2" borderId="0" xfId="12" applyFont="1" applyFill="1" applyBorder="1" applyAlignment="1">
      <alignment horizontal="right" vertical="center"/>
    </xf>
    <xf numFmtId="0" fontId="5" fillId="2" borderId="0" xfId="0" applyFont="1" applyFill="1" applyAlignment="1">
      <alignment horizontal="center" vertical="center"/>
    </xf>
    <xf numFmtId="165" fontId="13" fillId="2" borderId="0" xfId="12" applyFont="1" applyFill="1" applyBorder="1" applyAlignment="1">
      <alignment horizontal="right" vertical="center"/>
    </xf>
    <xf numFmtId="165" fontId="14" fillId="2" borderId="0" xfId="12" applyFont="1" applyFill="1" applyBorder="1" applyAlignment="1">
      <alignment horizontal="right" vertical="center"/>
    </xf>
    <xf numFmtId="165" fontId="14" fillId="2" borderId="1" xfId="12" applyFont="1" applyFill="1" applyBorder="1" applyAlignment="1">
      <alignment horizontal="right" vertical="center"/>
    </xf>
    <xf numFmtId="165" fontId="14" fillId="2" borderId="4" xfId="12" applyFont="1" applyFill="1" applyBorder="1" applyAlignment="1">
      <alignment horizontal="right" vertical="center"/>
    </xf>
    <xf numFmtId="0" fontId="0" fillId="2" borderId="0" xfId="0" applyFill="1" applyAlignment="1">
      <alignment vertical="center"/>
    </xf>
    <xf numFmtId="0" fontId="14" fillId="2" borderId="5" xfId="0" applyFont="1" applyFill="1" applyBorder="1" applyAlignment="1">
      <alignment horizontal="left" vertical="center" wrapText="1"/>
    </xf>
    <xf numFmtId="0" fontId="13" fillId="2" borderId="1" xfId="0" applyFont="1" applyFill="1" applyBorder="1" applyAlignment="1">
      <alignment vertical="center"/>
    </xf>
    <xf numFmtId="0" fontId="14" fillId="2" borderId="1" xfId="0" applyFont="1" applyFill="1" applyBorder="1" applyAlignment="1">
      <alignment horizontal="right" vertical="center" wrapText="1"/>
    </xf>
    <xf numFmtId="0" fontId="13" fillId="2" borderId="5" xfId="0" applyFont="1" applyFill="1" applyBorder="1" applyAlignment="1">
      <alignment vertical="center"/>
    </xf>
    <xf numFmtId="4" fontId="14" fillId="2" borderId="5" xfId="0" applyNumberFormat="1" applyFont="1" applyFill="1" applyBorder="1" applyAlignment="1">
      <alignment horizontal="right" vertical="center"/>
    </xf>
    <xf numFmtId="0" fontId="10" fillId="2" borderId="0" xfId="0" applyFont="1" applyFill="1" applyAlignment="1">
      <alignment vertical="center"/>
    </xf>
    <xf numFmtId="0" fontId="8" fillId="2" borderId="0" xfId="0" applyFont="1" applyFill="1" applyAlignment="1">
      <alignment horizontal="center" vertical="center" wrapText="1"/>
    </xf>
    <xf numFmtId="0" fontId="12" fillId="2" borderId="0" xfId="0" applyFont="1" applyFill="1"/>
    <xf numFmtId="0" fontId="3" fillId="2" borderId="0" xfId="0" applyFont="1" applyFill="1" applyProtection="1">
      <protection locked="0"/>
    </xf>
    <xf numFmtId="0" fontId="3" fillId="2" borderId="0" xfId="0" applyFont="1" applyFill="1" applyAlignment="1" applyProtection="1">
      <alignment horizontal="left" vertical="center"/>
      <protection locked="0"/>
    </xf>
    <xf numFmtId="165" fontId="3" fillId="2" borderId="0" xfId="12" applyFont="1" applyFill="1" applyProtection="1">
      <protection locked="0"/>
    </xf>
    <xf numFmtId="0" fontId="0" fillId="2" borderId="0" xfId="0" applyFill="1" applyProtection="1">
      <protection locked="0"/>
    </xf>
    <xf numFmtId="0" fontId="0" fillId="2" borderId="0" xfId="0" applyFill="1" applyAlignment="1" applyProtection="1">
      <alignment horizontal="left" vertical="center"/>
      <protection locked="0"/>
    </xf>
    <xf numFmtId="165" fontId="0" fillId="2" borderId="0" xfId="12" applyFont="1" applyFill="1" applyProtection="1">
      <protection locked="0"/>
    </xf>
    <xf numFmtId="0" fontId="4" fillId="2" borderId="0" xfId="0" applyFont="1" applyFill="1"/>
    <xf numFmtId="0" fontId="5" fillId="2" borderId="0" xfId="0" applyFont="1" applyFill="1"/>
    <xf numFmtId="0" fontId="9" fillId="2" borderId="0" xfId="0" applyFont="1" applyFill="1" applyAlignment="1" applyProtection="1">
      <alignment horizontal="center"/>
      <protection locked="0"/>
    </xf>
    <xf numFmtId="165" fontId="20" fillId="2" borderId="0" xfId="12" applyFont="1" applyFill="1" applyBorder="1" applyAlignment="1" applyProtection="1">
      <alignment horizontal="right" vertical="center" wrapText="1"/>
      <protection locked="0"/>
    </xf>
    <xf numFmtId="0" fontId="0" fillId="2" borderId="0" xfId="0" applyFill="1" applyAlignment="1" applyProtection="1">
      <alignment horizontal="left" vertical="center" wrapText="1"/>
      <protection locked="0"/>
    </xf>
    <xf numFmtId="0" fontId="0" fillId="2" borderId="0" xfId="0" applyFill="1" applyAlignment="1" applyProtection="1">
      <alignment horizontal="right" vertical="center" wrapText="1"/>
      <protection locked="0"/>
    </xf>
    <xf numFmtId="0" fontId="16" fillId="2" borderId="0" xfId="0" applyFont="1" applyFill="1" applyAlignment="1" applyProtection="1">
      <alignment horizontal="left" vertical="center" wrapText="1"/>
      <protection locked="0"/>
    </xf>
    <xf numFmtId="0" fontId="2" fillId="3" borderId="0" xfId="0" applyFont="1" applyFill="1" applyAlignment="1" applyProtection="1">
      <alignment horizontal="left" vertical="center"/>
      <protection locked="0"/>
    </xf>
    <xf numFmtId="0" fontId="13" fillId="3" borderId="0" xfId="0" applyFont="1" applyFill="1" applyAlignment="1">
      <alignment vertical="center" wrapText="1"/>
    </xf>
    <xf numFmtId="0" fontId="13" fillId="3" borderId="0" xfId="0" applyFont="1" applyFill="1" applyAlignment="1">
      <alignment horizontal="left" vertical="center" wrapText="1"/>
    </xf>
    <xf numFmtId="0" fontId="13" fillId="3" borderId="0" xfId="0" applyFont="1" applyFill="1" applyAlignment="1">
      <alignment vertical="center"/>
    </xf>
    <xf numFmtId="0" fontId="13" fillId="3" borderId="4" xfId="0" applyFont="1" applyFill="1" applyBorder="1" applyAlignment="1">
      <alignment vertical="center" wrapText="1"/>
    </xf>
    <xf numFmtId="165" fontId="2" fillId="2" borderId="10" xfId="12" applyFont="1" applyFill="1" applyBorder="1" applyAlignment="1" applyProtection="1">
      <alignment horizontal="right" vertical="center"/>
      <protection locked="0"/>
    </xf>
    <xf numFmtId="165" fontId="10" fillId="2" borderId="12" xfId="12" applyFont="1" applyFill="1" applyBorder="1" applyAlignment="1">
      <alignment horizontal="right" vertical="center"/>
    </xf>
    <xf numFmtId="165" fontId="6" fillId="2" borderId="0" xfId="12" applyFont="1" applyFill="1" applyBorder="1" applyAlignment="1">
      <alignment horizontal="right" vertical="center"/>
    </xf>
    <xf numFmtId="165" fontId="10" fillId="2" borderId="7" xfId="12" applyFont="1" applyFill="1" applyBorder="1" applyAlignment="1">
      <alignment horizontal="right" vertical="center"/>
    </xf>
    <xf numFmtId="165" fontId="10" fillId="2" borderId="8" xfId="12" applyFont="1" applyFill="1" applyBorder="1" applyAlignment="1">
      <alignment horizontal="right" vertical="center"/>
    </xf>
    <xf numFmtId="165" fontId="10" fillId="2" borderId="12" xfId="12" applyFont="1" applyFill="1" applyBorder="1" applyAlignment="1" applyProtection="1">
      <alignment horizontal="right" vertical="center"/>
      <protection locked="0"/>
    </xf>
    <xf numFmtId="165" fontId="2" fillId="2" borderId="0" xfId="12" applyFont="1" applyFill="1" applyBorder="1" applyAlignment="1">
      <alignmen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6" fillId="2" borderId="0" xfId="0" applyFont="1" applyFill="1" applyAlignment="1">
      <alignmen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0" fillId="2" borderId="0" xfId="0" applyFill="1" applyAlignment="1" applyProtection="1">
      <alignment wrapText="1"/>
      <protection locked="0"/>
    </xf>
    <xf numFmtId="0" fontId="16" fillId="2" borderId="0" xfId="0" applyFont="1" applyFill="1" applyAlignment="1" applyProtection="1">
      <alignment horizontal="right" vertical="center" wrapText="1"/>
      <protection locked="0"/>
    </xf>
    <xf numFmtId="0" fontId="0" fillId="2" borderId="0" xfId="0" applyFill="1" applyAlignment="1" applyProtection="1">
      <alignment horizontal="center" wrapText="1"/>
      <protection locked="0"/>
    </xf>
    <xf numFmtId="0" fontId="0" fillId="3" borderId="0" xfId="0" applyFill="1" applyAlignment="1" applyProtection="1">
      <alignment horizontal="left" vertical="center" wrapText="1"/>
      <protection locked="0"/>
    </xf>
    <xf numFmtId="0" fontId="13" fillId="3" borderId="0" xfId="6" applyFont="1" applyFill="1" applyAlignment="1">
      <alignment horizontal="left" vertical="center" wrapText="1"/>
    </xf>
    <xf numFmtId="0" fontId="13" fillId="3" borderId="0" xfId="3" applyFont="1" applyFill="1" applyAlignment="1">
      <alignment horizontal="left" vertical="center" wrapText="1"/>
    </xf>
    <xf numFmtId="0" fontId="13" fillId="3" borderId="0" xfId="3" applyFont="1" applyFill="1" applyAlignment="1">
      <alignment vertical="center" wrapText="1"/>
    </xf>
    <xf numFmtId="0" fontId="27" fillId="3" borderId="0" xfId="6" applyFont="1" applyFill="1" applyAlignment="1">
      <alignment horizontal="left" vertical="center" wrapText="1"/>
    </xf>
    <xf numFmtId="0" fontId="16" fillId="2" borderId="0" xfId="0" applyFont="1" applyFill="1" applyAlignment="1">
      <alignment horizontal="right" vertical="center" wrapText="1"/>
    </xf>
    <xf numFmtId="4" fontId="14" fillId="2" borderId="0" xfId="4" applyNumberFormat="1" applyFont="1" applyFill="1" applyAlignment="1">
      <alignment horizontal="right" vertical="center" wrapText="1"/>
    </xf>
    <xf numFmtId="0" fontId="14" fillId="2" borderId="0" xfId="4" applyFont="1" applyFill="1" applyAlignment="1">
      <alignment horizontal="center" vertical="center" wrapText="1"/>
    </xf>
    <xf numFmtId="0" fontId="19" fillId="2" borderId="0" xfId="4" applyFont="1" applyFill="1" applyAlignment="1">
      <alignment horizontal="left" vertical="center"/>
    </xf>
    <xf numFmtId="0" fontId="13" fillId="3" borderId="0" xfId="4" applyFont="1" applyFill="1" applyAlignment="1">
      <alignment horizontal="left" vertical="center" wrapText="1"/>
    </xf>
    <xf numFmtId="165" fontId="20" fillId="3" borderId="0" xfId="12" applyFont="1" applyFill="1" applyBorder="1" applyAlignment="1" applyProtection="1">
      <alignment horizontal="right" vertical="center" wrapText="1"/>
    </xf>
    <xf numFmtId="165" fontId="21" fillId="2" borderId="0" xfId="12" applyFont="1" applyFill="1" applyBorder="1" applyAlignment="1" applyProtection="1">
      <alignment horizontal="right" vertical="center" wrapText="1"/>
    </xf>
    <xf numFmtId="165" fontId="20" fillId="3" borderId="4" xfId="12" applyFont="1" applyFill="1" applyBorder="1" applyAlignment="1" applyProtection="1">
      <alignment horizontal="right" vertical="center" wrapText="1"/>
    </xf>
    <xf numFmtId="0" fontId="14" fillId="2" borderId="3" xfId="4" applyFont="1" applyFill="1" applyBorder="1" applyAlignment="1">
      <alignment horizontal="left" vertical="center"/>
    </xf>
    <xf numFmtId="0" fontId="14" fillId="2" borderId="3" xfId="4" applyFont="1" applyFill="1" applyBorder="1" applyAlignment="1">
      <alignment horizontal="right" vertical="center" wrapText="1"/>
    </xf>
    <xf numFmtId="165" fontId="14" fillId="2" borderId="3" xfId="12" applyFont="1" applyFill="1" applyBorder="1" applyAlignment="1" applyProtection="1">
      <alignment horizontal="right" vertical="center" wrapText="1"/>
    </xf>
    <xf numFmtId="0" fontId="13" fillId="2" borderId="0" xfId="4" applyFont="1" applyFill="1" applyAlignment="1">
      <alignment horizontal="right" vertical="center"/>
    </xf>
    <xf numFmtId="0" fontId="19" fillId="2" borderId="0" xfId="4" applyFont="1" applyFill="1" applyAlignment="1">
      <alignment horizontal="right" vertical="center"/>
    </xf>
    <xf numFmtId="165" fontId="21" fillId="2" borderId="1" xfId="12" applyFont="1" applyFill="1" applyBorder="1" applyAlignment="1" applyProtection="1">
      <alignment horizontal="right" vertical="center" wrapText="1"/>
    </xf>
    <xf numFmtId="165" fontId="21" fillId="3" borderId="1" xfId="12" applyFont="1" applyFill="1" applyBorder="1" applyAlignment="1" applyProtection="1">
      <alignment horizontal="right" vertical="center" wrapText="1"/>
    </xf>
    <xf numFmtId="165" fontId="20" fillId="3" borderId="0" xfId="12" applyFont="1" applyFill="1" applyBorder="1" applyAlignment="1" applyProtection="1">
      <alignment horizontal="right" vertical="center" wrapText="1"/>
      <protection locked="0"/>
    </xf>
    <xf numFmtId="165" fontId="20" fillId="3" borderId="4" xfId="12" applyFont="1" applyFill="1" applyBorder="1" applyAlignment="1" applyProtection="1">
      <alignment horizontal="right" vertical="center" wrapText="1"/>
      <protection locked="0"/>
    </xf>
    <xf numFmtId="0" fontId="5" fillId="3" borderId="0" xfId="0" applyFont="1" applyFill="1" applyAlignment="1">
      <alignment horizontal="center" vertical="center" wrapText="1"/>
    </xf>
    <xf numFmtId="165" fontId="14" fillId="2" borderId="0" xfId="12" applyFont="1" applyFill="1" applyBorder="1" applyAlignment="1" applyProtection="1">
      <alignment horizontal="right" vertical="center" wrapText="1"/>
    </xf>
    <xf numFmtId="0" fontId="12" fillId="3" borderId="0" xfId="0" applyFont="1" applyFill="1" applyAlignment="1">
      <alignment vertical="center"/>
    </xf>
    <xf numFmtId="0" fontId="12" fillId="3" borderId="0" xfId="0" applyFont="1" applyFill="1" applyAlignment="1">
      <alignment horizontal="left" vertical="center" wrapText="1"/>
    </xf>
    <xf numFmtId="165" fontId="12" fillId="2" borderId="0" xfId="12" applyFont="1" applyFill="1" applyBorder="1" applyAlignment="1" applyProtection="1">
      <alignment horizontal="right" vertical="center"/>
      <protection locked="0"/>
    </xf>
    <xf numFmtId="0" fontId="11" fillId="2" borderId="0" xfId="0" applyFont="1" applyFill="1" applyAlignment="1">
      <alignment horizontal="left" vertical="center"/>
    </xf>
    <xf numFmtId="0" fontId="12" fillId="3" borderId="0" xfId="0" applyFont="1" applyFill="1" applyAlignment="1">
      <alignment horizontal="right" vertical="center" wrapText="1"/>
    </xf>
    <xf numFmtId="10" fontId="21" fillId="3" borderId="1" xfId="9" applyNumberFormat="1" applyFont="1" applyFill="1" applyBorder="1" applyAlignment="1" applyProtection="1">
      <alignment horizontal="right" vertical="center" wrapText="1"/>
    </xf>
    <xf numFmtId="10" fontId="20" fillId="2" borderId="0" xfId="9" applyNumberFormat="1" applyFont="1" applyFill="1" applyBorder="1" applyAlignment="1" applyProtection="1">
      <alignment horizontal="right" vertical="center" wrapText="1"/>
    </xf>
    <xf numFmtId="10" fontId="20" fillId="2" borderId="4" xfId="9" applyNumberFormat="1" applyFont="1" applyFill="1" applyBorder="1" applyAlignment="1" applyProtection="1">
      <alignment horizontal="right" vertical="center" wrapText="1"/>
    </xf>
    <xf numFmtId="10" fontId="20" fillId="3" borderId="0" xfId="9" applyNumberFormat="1" applyFont="1" applyFill="1" applyBorder="1" applyAlignment="1" applyProtection="1">
      <alignment horizontal="right" vertical="center" wrapText="1"/>
    </xf>
    <xf numFmtId="165" fontId="12" fillId="2" borderId="0" xfId="12" applyFont="1" applyFill="1" applyBorder="1" applyAlignment="1" applyProtection="1">
      <alignment horizontal="right" vertical="center"/>
    </xf>
    <xf numFmtId="165" fontId="21" fillId="2" borderId="4" xfId="12" applyFont="1" applyFill="1" applyBorder="1" applyAlignment="1" applyProtection="1">
      <alignment horizontal="right" vertical="center" wrapText="1"/>
    </xf>
    <xf numFmtId="0" fontId="14" fillId="3" borderId="0" xfId="0" applyFont="1" applyFill="1" applyAlignment="1">
      <alignment horizontal="left" vertical="center"/>
    </xf>
    <xf numFmtId="0" fontId="14" fillId="3" borderId="0" xfId="0" applyFont="1" applyFill="1" applyAlignment="1">
      <alignment horizontal="left" vertical="center" wrapText="1"/>
    </xf>
    <xf numFmtId="10" fontId="13" fillId="3" borderId="0" xfId="9" applyNumberFormat="1" applyFont="1" applyFill="1" applyBorder="1" applyAlignment="1" applyProtection="1">
      <alignment horizontal="right" vertical="center"/>
    </xf>
    <xf numFmtId="10" fontId="14" fillId="3" borderId="1" xfId="9" applyNumberFormat="1" applyFont="1" applyFill="1" applyBorder="1" applyAlignment="1" applyProtection="1">
      <alignment horizontal="right" vertical="center"/>
    </xf>
    <xf numFmtId="10" fontId="13" fillId="3" borderId="1" xfId="9" applyNumberFormat="1" applyFont="1" applyFill="1" applyBorder="1" applyAlignment="1" applyProtection="1">
      <alignment horizontal="right" vertical="center"/>
    </xf>
    <xf numFmtId="165" fontId="14" fillId="2" borderId="3" xfId="12" applyFont="1" applyFill="1" applyBorder="1" applyAlignment="1" applyProtection="1">
      <alignment horizontal="right" vertical="center" wrapText="1"/>
      <protection locked="0"/>
    </xf>
    <xf numFmtId="0" fontId="13" fillId="2" borderId="0" xfId="4" applyFont="1" applyFill="1" applyAlignment="1" applyProtection="1">
      <alignment horizontal="right" vertical="center"/>
      <protection locked="0"/>
    </xf>
    <xf numFmtId="4" fontId="10" fillId="2" borderId="0" xfId="0" applyNumberFormat="1" applyFont="1" applyFill="1" applyAlignment="1">
      <alignment horizontal="right" vertical="center"/>
    </xf>
    <xf numFmtId="4" fontId="10" fillId="2" borderId="0" xfId="0" applyNumberFormat="1" applyFont="1" applyFill="1" applyAlignment="1">
      <alignment horizontal="right" vertical="center" wrapText="1"/>
    </xf>
    <xf numFmtId="165" fontId="13" fillId="2" borderId="0" xfId="12" applyFont="1" applyFill="1" applyBorder="1" applyAlignment="1" applyProtection="1">
      <alignment horizontal="right" vertical="center"/>
    </xf>
    <xf numFmtId="165" fontId="14" fillId="2" borderId="0" xfId="12" applyFont="1" applyFill="1" applyBorder="1" applyAlignment="1" applyProtection="1">
      <alignment horizontal="right" vertical="center"/>
    </xf>
    <xf numFmtId="165" fontId="14" fillId="2" borderId="1" xfId="12" applyFont="1" applyFill="1" applyBorder="1" applyAlignment="1" applyProtection="1">
      <alignment horizontal="right" vertical="center"/>
    </xf>
    <xf numFmtId="0" fontId="5" fillId="3" borderId="13"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3" xfId="6" applyFont="1" applyFill="1" applyBorder="1" applyAlignment="1">
      <alignment horizontal="left" vertical="center" wrapText="1"/>
    </xf>
    <xf numFmtId="0" fontId="9" fillId="3" borderId="13" xfId="3" applyFont="1" applyFill="1" applyBorder="1" applyAlignment="1">
      <alignment horizontal="left" vertical="center" wrapText="1"/>
    </xf>
    <xf numFmtId="0" fontId="28" fillId="3" borderId="13" xfId="6" applyFont="1" applyFill="1" applyBorder="1" applyAlignment="1">
      <alignment horizontal="left" vertical="center"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vertical="center" wrapText="1"/>
    </xf>
    <xf numFmtId="0" fontId="0" fillId="3" borderId="0" xfId="0" applyFill="1"/>
    <xf numFmtId="0" fontId="15" fillId="3" borderId="0" xfId="0" applyFont="1" applyFill="1" applyAlignment="1">
      <alignment horizontal="center"/>
    </xf>
    <xf numFmtId="0" fontId="17" fillId="3" borderId="0" xfId="0" applyFont="1" applyFill="1" applyAlignment="1" applyProtection="1">
      <alignment horizontal="center" vertical="center" wrapText="1"/>
      <protection locked="0"/>
    </xf>
    <xf numFmtId="0" fontId="4" fillId="3" borderId="0" xfId="0" applyFont="1" applyFill="1"/>
    <xf numFmtId="0" fontId="4" fillId="3" borderId="0" xfId="0" applyFont="1" applyFill="1" applyAlignment="1">
      <alignment horizontal="left" vertical="top"/>
    </xf>
    <xf numFmtId="0" fontId="0" fillId="3" borderId="0" xfId="0" applyFill="1" applyAlignment="1">
      <alignment horizontal="left" vertical="top"/>
    </xf>
    <xf numFmtId="0" fontId="4" fillId="3" borderId="1" xfId="0" applyFont="1" applyFill="1" applyBorder="1" applyAlignment="1">
      <alignment horizontal="center" vertical="center"/>
    </xf>
    <xf numFmtId="0" fontId="0" fillId="3" borderId="0" xfId="0" applyFill="1" applyProtection="1">
      <protection locked="0"/>
    </xf>
    <xf numFmtId="0" fontId="10" fillId="3" borderId="3" xfId="0" applyFont="1" applyFill="1" applyBorder="1" applyAlignment="1">
      <alignment horizontal="center" vertical="center" wrapText="1"/>
    </xf>
    <xf numFmtId="0" fontId="0" fillId="3" borderId="0" xfId="0" applyFill="1" applyAlignment="1">
      <alignment horizontal="center"/>
    </xf>
    <xf numFmtId="0" fontId="0" fillId="3" borderId="0" xfId="0" applyFill="1" applyAlignment="1">
      <alignment horizontal="left" vertical="center"/>
    </xf>
    <xf numFmtId="0" fontId="0" fillId="3" borderId="0" xfId="0" applyFill="1" applyAlignment="1">
      <alignment horizontal="right" vertical="center"/>
    </xf>
    <xf numFmtId="0" fontId="2" fillId="3" borderId="0" xfId="0" applyFont="1" applyFill="1" applyProtection="1">
      <protection locked="0"/>
    </xf>
    <xf numFmtId="165" fontId="2" fillId="3" borderId="0" xfId="12" applyFont="1" applyFill="1" applyProtection="1">
      <protection locked="0"/>
    </xf>
    <xf numFmtId="165" fontId="21" fillId="2" borderId="0" xfId="12" applyFont="1" applyFill="1" applyBorder="1" applyAlignment="1" applyProtection="1">
      <alignment horizontal="right" vertical="center" wrapText="1"/>
      <protection locked="0"/>
    </xf>
    <xf numFmtId="0" fontId="10" fillId="3" borderId="23" xfId="0" applyFont="1" applyFill="1" applyBorder="1" applyAlignment="1">
      <alignment vertical="center"/>
    </xf>
    <xf numFmtId="10" fontId="2" fillId="3" borderId="18" xfId="12" applyNumberFormat="1" applyFont="1" applyFill="1" applyBorder="1" applyAlignment="1" applyProtection="1">
      <alignment horizontal="right" vertical="center"/>
      <protection locked="0"/>
    </xf>
    <xf numFmtId="10" fontId="2" fillId="3" borderId="26" xfId="12" applyNumberFormat="1" applyFont="1" applyFill="1" applyBorder="1" applyAlignment="1" applyProtection="1">
      <alignment horizontal="right" vertical="center"/>
      <protection locked="0"/>
    </xf>
    <xf numFmtId="0" fontId="0" fillId="3" borderId="21"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165" fontId="0" fillId="3" borderId="0" xfId="0" applyNumberFormat="1" applyFill="1" applyAlignment="1" applyProtection="1">
      <alignment horizontal="right" vertical="center"/>
      <protection locked="0"/>
    </xf>
    <xf numFmtId="165" fontId="0" fillId="3" borderId="5" xfId="0" applyNumberFormat="1" applyFill="1" applyBorder="1" applyAlignment="1" applyProtection="1">
      <alignment horizontal="right" vertical="center"/>
      <protection locked="0"/>
    </xf>
    <xf numFmtId="4" fontId="0" fillId="3" borderId="0" xfId="0" applyNumberFormat="1" applyFill="1"/>
    <xf numFmtId="0" fontId="10" fillId="3" borderId="24" xfId="0" applyFont="1" applyFill="1" applyBorder="1" applyAlignment="1">
      <alignment horizontal="center"/>
    </xf>
    <xf numFmtId="0" fontId="2" fillId="3" borderId="19" xfId="0" applyFont="1" applyFill="1" applyBorder="1" applyAlignment="1">
      <alignment vertical="center"/>
    </xf>
    <xf numFmtId="165" fontId="2" fillId="3" borderId="18" xfId="12" applyFont="1" applyFill="1" applyBorder="1" applyAlignment="1" applyProtection="1">
      <alignment horizontal="right" vertical="center"/>
    </xf>
    <xf numFmtId="0" fontId="2" fillId="3" borderId="25" xfId="0" applyFont="1" applyFill="1" applyBorder="1" applyAlignment="1">
      <alignment vertical="center"/>
    </xf>
    <xf numFmtId="165" fontId="2" fillId="3" borderId="26" xfId="12" applyFont="1" applyFill="1" applyBorder="1" applyAlignment="1" applyProtection="1">
      <alignment horizontal="right" vertical="center"/>
    </xf>
    <xf numFmtId="0" fontId="14" fillId="3" borderId="0" xfId="4" applyFont="1" applyFill="1" applyAlignment="1" applyProtection="1">
      <alignment horizontal="left" vertical="center"/>
      <protection locked="0"/>
    </xf>
    <xf numFmtId="0" fontId="14" fillId="3" borderId="0" xfId="4" applyFont="1" applyFill="1" applyAlignment="1" applyProtection="1">
      <alignment horizontal="right" vertical="center" wrapText="1"/>
      <protection locked="0"/>
    </xf>
    <xf numFmtId="10" fontId="21" fillId="2" borderId="0" xfId="9" applyNumberFormat="1" applyFont="1" applyFill="1" applyBorder="1" applyAlignment="1" applyProtection="1">
      <alignment horizontal="right" vertical="center" wrapText="1"/>
      <protection locked="0"/>
    </xf>
    <xf numFmtId="0" fontId="13" fillId="0" borderId="0" xfId="4" applyFont="1" applyAlignment="1" applyProtection="1">
      <alignment vertical="center"/>
      <protection locked="0"/>
    </xf>
    <xf numFmtId="0" fontId="4" fillId="0" borderId="0" xfId="4" applyFont="1" applyAlignment="1" applyProtection="1">
      <alignment horizontal="left" vertical="center"/>
      <protection locked="0"/>
    </xf>
    <xf numFmtId="0" fontId="13" fillId="2" borderId="0" xfId="4" applyFont="1" applyFill="1" applyAlignment="1" applyProtection="1">
      <alignment vertical="center"/>
      <protection locked="0"/>
    </xf>
    <xf numFmtId="0" fontId="14" fillId="0" borderId="0" xfId="4" applyFont="1" applyAlignment="1" applyProtection="1">
      <alignment vertical="center"/>
      <protection locked="0"/>
    </xf>
    <xf numFmtId="4" fontId="13" fillId="0" borderId="0" xfId="4" applyNumberFormat="1" applyFont="1" applyAlignment="1" applyProtection="1">
      <alignment vertical="center"/>
      <protection locked="0"/>
    </xf>
    <xf numFmtId="0" fontId="0" fillId="0" borderId="0" xfId="0" applyAlignment="1" applyProtection="1">
      <alignment horizontal="left" vertical="center" wrapText="1"/>
      <protection locked="0"/>
    </xf>
    <xf numFmtId="4" fontId="13" fillId="2" borderId="0" xfId="4" applyNumberFormat="1" applyFont="1" applyFill="1" applyAlignment="1" applyProtection="1">
      <alignment vertical="center"/>
      <protection locked="0"/>
    </xf>
    <xf numFmtId="0" fontId="15" fillId="0" borderId="0" xfId="4" applyFont="1" applyAlignment="1" applyProtection="1">
      <alignment horizontal="justify" vertical="center"/>
      <protection locked="0"/>
    </xf>
    <xf numFmtId="0" fontId="2" fillId="3" borderId="14" xfId="0" applyFont="1" applyFill="1" applyBorder="1" applyAlignment="1" applyProtection="1">
      <alignment horizontal="left" vertical="center" wrapText="1"/>
      <protection locked="0"/>
    </xf>
    <xf numFmtId="165" fontId="20" fillId="2" borderId="0" xfId="12" applyFont="1" applyFill="1" applyBorder="1" applyAlignment="1" applyProtection="1">
      <alignment horizontal="right" vertical="center" wrapText="1"/>
    </xf>
    <xf numFmtId="0" fontId="19" fillId="2" borderId="2" xfId="4" applyFont="1" applyFill="1" applyBorder="1" applyAlignment="1">
      <alignment horizontal="left" vertical="center"/>
    </xf>
    <xf numFmtId="0" fontId="13" fillId="3" borderId="2" xfId="4" applyFont="1" applyFill="1" applyBorder="1" applyAlignment="1">
      <alignment horizontal="left" vertical="center" wrapText="1"/>
    </xf>
    <xf numFmtId="165" fontId="20" fillId="2" borderId="2" xfId="12" applyFont="1" applyFill="1" applyBorder="1" applyAlignment="1" applyProtection="1">
      <alignment horizontal="right" vertical="center" wrapText="1"/>
      <protection locked="0"/>
    </xf>
    <xf numFmtId="165" fontId="20" fillId="2" borderId="2" xfId="12" applyFont="1" applyFill="1" applyBorder="1" applyAlignment="1" applyProtection="1">
      <alignment horizontal="right" vertical="center" wrapText="1"/>
    </xf>
    <xf numFmtId="165" fontId="21" fillId="2" borderId="2" xfId="12" applyFont="1" applyFill="1" applyBorder="1" applyAlignment="1" applyProtection="1">
      <alignment horizontal="right" vertical="center" wrapText="1"/>
    </xf>
    <xf numFmtId="10" fontId="20" fillId="3" borderId="2" xfId="9" applyNumberFormat="1" applyFont="1" applyFill="1" applyBorder="1" applyAlignment="1" applyProtection="1">
      <alignment horizontal="right" vertical="center" wrapText="1"/>
    </xf>
    <xf numFmtId="165" fontId="20" fillId="3" borderId="2" xfId="12" applyFont="1" applyFill="1" applyBorder="1" applyAlignment="1" applyProtection="1">
      <alignment horizontal="right" vertical="center" wrapText="1"/>
    </xf>
    <xf numFmtId="0" fontId="9" fillId="3" borderId="0" xfId="0" applyFont="1" applyFill="1" applyAlignment="1">
      <alignment horizontal="left" vertical="center" wrapText="1"/>
    </xf>
    <xf numFmtId="0" fontId="10" fillId="2" borderId="1" xfId="0" applyFont="1" applyFill="1" applyBorder="1" applyAlignment="1">
      <alignment horizontal="left" vertical="center"/>
    </xf>
    <xf numFmtId="165" fontId="2" fillId="2" borderId="27" xfId="12" applyFont="1" applyFill="1" applyBorder="1" applyAlignment="1" applyProtection="1">
      <alignment horizontal="right" vertical="center"/>
      <protection locked="0"/>
    </xf>
    <xf numFmtId="165" fontId="2" fillId="2" borderId="10" xfId="12" applyFont="1" applyFill="1" applyBorder="1" applyAlignment="1" applyProtection="1">
      <alignment horizontal="right" vertical="center"/>
    </xf>
    <xf numFmtId="165" fontId="2" fillId="2" borderId="11" xfId="12" applyFont="1" applyFill="1" applyBorder="1" applyAlignment="1" applyProtection="1">
      <alignment horizontal="right" vertical="center"/>
    </xf>
    <xf numFmtId="0" fontId="10" fillId="2" borderId="1" xfId="0" applyFont="1" applyFill="1" applyBorder="1" applyAlignment="1">
      <alignment horizontal="left" vertical="center" wrapText="1"/>
    </xf>
    <xf numFmtId="0" fontId="9" fillId="2" borderId="0" xfId="0" applyFont="1" applyFill="1" applyAlignment="1" applyProtection="1">
      <alignment horizontal="justify"/>
      <protection locked="0"/>
    </xf>
    <xf numFmtId="0" fontId="9" fillId="2" borderId="0" xfId="0" applyFont="1" applyFill="1" applyAlignment="1">
      <alignment horizontal="center" wrapText="1"/>
    </xf>
    <xf numFmtId="0" fontId="4" fillId="3" borderId="0" xfId="0" applyFont="1" applyFill="1" applyAlignment="1">
      <alignment vertical="center" wrapText="1"/>
    </xf>
    <xf numFmtId="0" fontId="5" fillId="3" borderId="0" xfId="0" applyFont="1" applyFill="1" applyAlignment="1">
      <alignment vertical="center" wrapText="1"/>
    </xf>
    <xf numFmtId="165" fontId="2" fillId="3" borderId="6" xfId="0" applyNumberFormat="1" applyFont="1" applyFill="1" applyBorder="1" applyAlignment="1" applyProtection="1">
      <alignment horizontal="right" vertical="center"/>
      <protection locked="0"/>
    </xf>
    <xf numFmtId="165" fontId="2" fillId="3" borderId="0" xfId="0" applyNumberFormat="1" applyFont="1" applyFill="1" applyAlignment="1" applyProtection="1">
      <alignment horizontal="right" vertical="center"/>
      <protection locked="0"/>
    </xf>
    <xf numFmtId="0" fontId="0" fillId="2" borderId="0" xfId="0" applyFill="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4" fillId="2" borderId="0" xfId="0" applyFont="1" applyFill="1" applyAlignment="1">
      <alignment vertical="center" wrapText="1"/>
    </xf>
    <xf numFmtId="0" fontId="1" fillId="3" borderId="0" xfId="14" applyFill="1"/>
    <xf numFmtId="165" fontId="31" fillId="3" borderId="0" xfId="15" applyFont="1" applyFill="1" applyBorder="1" applyAlignment="1" applyProtection="1">
      <alignment horizontal="left" wrapText="1"/>
    </xf>
    <xf numFmtId="0" fontId="1" fillId="3" borderId="0" xfId="14" applyFill="1" applyAlignment="1">
      <alignment horizontal="center"/>
    </xf>
    <xf numFmtId="0" fontId="2" fillId="3" borderId="0" xfId="0" applyFont="1" applyFill="1"/>
    <xf numFmtId="0" fontId="33" fillId="2" borderId="0" xfId="0" applyFont="1" applyFill="1" applyAlignment="1" applyProtection="1">
      <alignment horizontal="center"/>
      <protection locked="0"/>
    </xf>
    <xf numFmtId="17" fontId="12" fillId="3" borderId="29" xfId="0" applyNumberFormat="1" applyFont="1" applyFill="1" applyBorder="1" applyAlignment="1" applyProtection="1">
      <alignment horizontal="right" vertical="center" wrapText="1"/>
      <protection locked="0"/>
    </xf>
    <xf numFmtId="0" fontId="12" fillId="3" borderId="29" xfId="0" applyFont="1" applyFill="1" applyBorder="1" applyAlignment="1" applyProtection="1">
      <alignment horizontal="left" vertical="center" wrapText="1"/>
      <protection locked="0"/>
    </xf>
    <xf numFmtId="165" fontId="12" fillId="3" borderId="29" xfId="12" applyFont="1" applyFill="1" applyBorder="1" applyAlignment="1" applyProtection="1">
      <alignment horizontal="right" vertical="center" wrapText="1"/>
      <protection locked="0"/>
    </xf>
    <xf numFmtId="0" fontId="2" fillId="3" borderId="3" xfId="0" applyFont="1" applyFill="1" applyBorder="1" applyAlignment="1">
      <alignment horizontal="center" vertical="center"/>
    </xf>
    <xf numFmtId="0" fontId="2" fillId="0" borderId="15" xfId="0" applyFont="1" applyBorder="1"/>
    <xf numFmtId="0" fontId="10" fillId="3" borderId="30" xfId="0" applyFont="1" applyFill="1" applyBorder="1" applyAlignment="1">
      <alignment horizontal="center" vertical="center"/>
    </xf>
    <xf numFmtId="0" fontId="14" fillId="3" borderId="16" xfId="4" applyFont="1" applyFill="1" applyBorder="1" applyAlignment="1">
      <alignment vertical="center" wrapText="1"/>
    </xf>
    <xf numFmtId="10" fontId="2" fillId="3" borderId="20" xfId="9" applyNumberFormat="1" applyFont="1" applyFill="1" applyBorder="1" applyAlignment="1" applyProtection="1">
      <alignment horizontal="right" vertical="center"/>
    </xf>
    <xf numFmtId="165" fontId="0" fillId="3" borderId="31" xfId="0" applyNumberFormat="1" applyFill="1" applyBorder="1" applyAlignment="1">
      <alignment horizontal="right" vertical="center"/>
    </xf>
    <xf numFmtId="10" fontId="2" fillId="3" borderId="32" xfId="9" applyNumberFormat="1" applyFont="1" applyFill="1" applyBorder="1" applyAlignment="1" applyProtection="1">
      <alignment horizontal="right" vertical="center"/>
    </xf>
    <xf numFmtId="10" fontId="2" fillId="3" borderId="33" xfId="9" applyNumberFormat="1" applyFont="1" applyFill="1" applyBorder="1" applyAlignment="1" applyProtection="1">
      <alignment horizontal="right" vertical="center"/>
    </xf>
    <xf numFmtId="0" fontId="14" fillId="7" borderId="3" xfId="0" applyFont="1" applyFill="1" applyBorder="1" applyAlignment="1">
      <alignment horizontal="left" vertical="center" wrapText="1"/>
    </xf>
    <xf numFmtId="10" fontId="14" fillId="7" borderId="3" xfId="9" applyNumberFormat="1" applyFont="1" applyFill="1" applyBorder="1" applyAlignment="1" applyProtection="1">
      <alignment horizontal="center" vertical="center"/>
    </xf>
    <xf numFmtId="0" fontId="14" fillId="5" borderId="3" xfId="0" applyFont="1" applyFill="1" applyBorder="1" applyAlignment="1">
      <alignment horizontal="left" vertical="center" wrapText="1"/>
    </xf>
    <xf numFmtId="4" fontId="14" fillId="5" borderId="3" xfId="0" applyNumberFormat="1" applyFont="1" applyFill="1" applyBorder="1" applyAlignment="1">
      <alignment horizontal="center" vertical="center"/>
    </xf>
    <xf numFmtId="10" fontId="14" fillId="5" borderId="3" xfId="9" applyNumberFormat="1" applyFont="1" applyFill="1" applyBorder="1" applyAlignment="1" applyProtection="1">
      <alignment horizontal="center" vertical="center"/>
    </xf>
    <xf numFmtId="0" fontId="14" fillId="5" borderId="3" xfId="0" applyFont="1" applyFill="1" applyBorder="1" applyAlignment="1">
      <alignment horizontal="left" vertical="center"/>
    </xf>
    <xf numFmtId="0" fontId="14" fillId="5" borderId="3" xfId="0" applyFont="1" applyFill="1" applyBorder="1" applyAlignment="1">
      <alignment vertical="center" wrapText="1"/>
    </xf>
    <xf numFmtId="165" fontId="14" fillId="5" borderId="3" xfId="12" applyFont="1" applyFill="1" applyBorder="1" applyAlignment="1" applyProtection="1">
      <alignment horizontal="right" vertical="center"/>
    </xf>
    <xf numFmtId="10" fontId="14" fillId="5" borderId="3" xfId="9" applyNumberFormat="1" applyFont="1" applyFill="1" applyBorder="1" applyAlignment="1" applyProtection="1">
      <alignment horizontal="right" vertical="center"/>
    </xf>
    <xf numFmtId="0" fontId="13" fillId="3" borderId="0" xfId="0" applyFont="1" applyFill="1" applyAlignment="1">
      <alignment horizontal="left" vertical="center"/>
    </xf>
    <xf numFmtId="0" fontId="14" fillId="6" borderId="0" xfId="0" applyFont="1" applyFill="1" applyAlignment="1">
      <alignment horizontal="left" vertical="center" wrapText="1"/>
    </xf>
    <xf numFmtId="10" fontId="13" fillId="6" borderId="0" xfId="9" applyNumberFormat="1" applyFont="1" applyFill="1" applyBorder="1" applyAlignment="1" applyProtection="1">
      <alignment horizontal="right" vertical="center"/>
    </xf>
    <xf numFmtId="165" fontId="13" fillId="6" borderId="0" xfId="12" applyFont="1" applyFill="1" applyBorder="1" applyAlignment="1" applyProtection="1">
      <alignment horizontal="center" vertical="center"/>
    </xf>
    <xf numFmtId="0" fontId="14" fillId="7" borderId="0" xfId="0" applyFont="1" applyFill="1" applyAlignment="1">
      <alignment horizontal="left" vertical="center" wrapText="1"/>
    </xf>
    <xf numFmtId="165" fontId="13" fillId="7" borderId="0" xfId="12" applyFont="1" applyFill="1" applyBorder="1" applyAlignment="1" applyProtection="1">
      <alignment horizontal="right" vertical="center"/>
    </xf>
    <xf numFmtId="165" fontId="14" fillId="7" borderId="2" xfId="12" applyFont="1" applyFill="1" applyBorder="1" applyAlignment="1" applyProtection="1">
      <alignment horizontal="right" vertical="center"/>
    </xf>
    <xf numFmtId="165" fontId="13" fillId="7" borderId="0" xfId="12" applyFont="1" applyFill="1" applyBorder="1" applyAlignment="1" applyProtection="1">
      <alignment horizontal="center" vertical="center"/>
    </xf>
    <xf numFmtId="10" fontId="13" fillId="7" borderId="6" xfId="9" applyNumberFormat="1" applyFont="1" applyFill="1" applyBorder="1" applyAlignment="1" applyProtection="1">
      <alignment horizontal="center" vertical="center"/>
    </xf>
    <xf numFmtId="0" fontId="14" fillId="7" borderId="5" xfId="0" applyFont="1" applyFill="1" applyBorder="1" applyAlignment="1">
      <alignment horizontal="left" vertical="center"/>
    </xf>
    <xf numFmtId="0" fontId="14" fillId="7" borderId="5" xfId="0" applyFont="1" applyFill="1" applyBorder="1" applyAlignment="1">
      <alignment horizontal="left" vertical="center" wrapText="1"/>
    </xf>
    <xf numFmtId="0" fontId="14" fillId="5" borderId="5" xfId="0" applyFont="1" applyFill="1" applyBorder="1" applyAlignment="1">
      <alignment horizontal="left" vertical="center"/>
    </xf>
    <xf numFmtId="0" fontId="14" fillId="5" borderId="5" xfId="0" applyFont="1" applyFill="1" applyBorder="1" applyAlignment="1">
      <alignment horizontal="left" vertical="center" wrapText="1"/>
    </xf>
    <xf numFmtId="0" fontId="14" fillId="7" borderId="0" xfId="0" applyFont="1" applyFill="1" applyAlignment="1">
      <alignment vertical="center" wrapText="1"/>
    </xf>
    <xf numFmtId="0" fontId="14" fillId="7" borderId="6" xfId="0" applyFont="1" applyFill="1" applyBorder="1" applyAlignment="1">
      <alignment horizontal="center" vertical="center"/>
    </xf>
    <xf numFmtId="10" fontId="14" fillId="7" borderId="6" xfId="9" applyNumberFormat="1" applyFont="1" applyFill="1" applyBorder="1" applyAlignment="1" applyProtection="1">
      <alignment horizontal="center" vertical="center"/>
    </xf>
    <xf numFmtId="0" fontId="14" fillId="6" borderId="0" xfId="0" applyFont="1" applyFill="1" applyAlignment="1">
      <alignment vertical="center"/>
    </xf>
    <xf numFmtId="0" fontId="22" fillId="6" borderId="0" xfId="0" applyFont="1" applyFill="1" applyAlignment="1">
      <alignment vertical="center" wrapText="1"/>
    </xf>
    <xf numFmtId="10" fontId="13" fillId="6" borderId="0" xfId="9" applyNumberFormat="1" applyFont="1" applyFill="1" applyBorder="1" applyAlignment="1" applyProtection="1">
      <alignment horizontal="center" vertical="center"/>
    </xf>
    <xf numFmtId="165" fontId="13" fillId="6" borderId="10" xfId="12" applyFont="1" applyFill="1" applyBorder="1" applyAlignment="1" applyProtection="1">
      <alignment horizontal="center" vertical="center"/>
    </xf>
    <xf numFmtId="10" fontId="13" fillId="6" borderId="10" xfId="9" applyNumberFormat="1" applyFont="1" applyFill="1" applyBorder="1" applyAlignment="1" applyProtection="1">
      <alignment horizontal="center" vertical="center"/>
    </xf>
    <xf numFmtId="0" fontId="13" fillId="7" borderId="5" xfId="0" applyFont="1" applyFill="1" applyBorder="1" applyAlignment="1">
      <alignment vertical="center"/>
    </xf>
    <xf numFmtId="0" fontId="14" fillId="7" borderId="5" xfId="0" applyFont="1" applyFill="1" applyBorder="1" applyAlignment="1">
      <alignment horizontal="right" vertical="center" wrapText="1"/>
    </xf>
    <xf numFmtId="165" fontId="14" fillId="7" borderId="5" xfId="12" applyFont="1" applyFill="1" applyBorder="1" applyAlignment="1" applyProtection="1">
      <alignment horizontal="right" vertical="center"/>
    </xf>
    <xf numFmtId="10" fontId="14" fillId="7" borderId="5" xfId="9" applyNumberFormat="1" applyFont="1" applyFill="1" applyBorder="1" applyAlignment="1" applyProtection="1">
      <alignment horizontal="right" vertical="center"/>
    </xf>
    <xf numFmtId="0" fontId="14" fillId="7" borderId="5" xfId="0" applyFont="1" applyFill="1" applyBorder="1" applyAlignment="1">
      <alignment vertical="center"/>
    </xf>
    <xf numFmtId="165" fontId="14" fillId="7" borderId="3" xfId="12" applyFont="1" applyFill="1" applyBorder="1" applyAlignment="1" applyProtection="1">
      <alignment horizontal="center" vertical="center"/>
    </xf>
    <xf numFmtId="165" fontId="14" fillId="5" borderId="5" xfId="12" applyFont="1" applyFill="1" applyBorder="1" applyAlignment="1" applyProtection="1">
      <alignment horizontal="right" vertical="center"/>
    </xf>
    <xf numFmtId="10" fontId="14" fillId="5" borderId="5" xfId="9" applyNumberFormat="1" applyFont="1" applyFill="1" applyBorder="1" applyAlignment="1" applyProtection="1">
      <alignment horizontal="right" vertical="center"/>
    </xf>
    <xf numFmtId="0" fontId="13" fillId="7" borderId="2" xfId="0" applyFont="1" applyFill="1" applyBorder="1" applyAlignment="1">
      <alignment vertical="center"/>
    </xf>
    <xf numFmtId="0" fontId="14" fillId="7" borderId="2" xfId="0" applyFont="1" applyFill="1" applyBorder="1" applyAlignment="1">
      <alignment horizontal="right" vertical="center" wrapText="1"/>
    </xf>
    <xf numFmtId="10" fontId="14" fillId="7" borderId="2" xfId="9" applyNumberFormat="1" applyFont="1" applyFill="1" applyBorder="1" applyAlignment="1" applyProtection="1">
      <alignment horizontal="right" vertical="center"/>
    </xf>
    <xf numFmtId="10" fontId="13" fillId="7" borderId="5" xfId="9" applyNumberFormat="1" applyFont="1" applyFill="1" applyBorder="1" applyAlignment="1" applyProtection="1">
      <alignment horizontal="right" vertical="center"/>
    </xf>
    <xf numFmtId="165" fontId="14" fillId="7" borderId="3" xfId="12" applyFont="1" applyFill="1" applyBorder="1" applyAlignment="1" applyProtection="1">
      <alignment horizontal="right" vertical="center"/>
    </xf>
    <xf numFmtId="165" fontId="13" fillId="7" borderId="5" xfId="12" applyFont="1" applyFill="1" applyBorder="1" applyAlignment="1" applyProtection="1">
      <alignment horizontal="right" vertical="center"/>
    </xf>
    <xf numFmtId="0" fontId="14" fillId="7" borderId="3" xfId="0" applyFont="1" applyFill="1" applyBorder="1" applyAlignment="1">
      <alignment horizontal="left" vertical="center"/>
    </xf>
    <xf numFmtId="165" fontId="13" fillId="7" borderId="3" xfId="12" applyFont="1" applyFill="1" applyBorder="1" applyAlignment="1" applyProtection="1">
      <alignment horizontal="right" vertical="center"/>
    </xf>
    <xf numFmtId="10" fontId="13" fillId="7" borderId="3" xfId="9" applyNumberFormat="1" applyFont="1" applyFill="1" applyBorder="1" applyAlignment="1" applyProtection="1">
      <alignment horizontal="right" vertical="center"/>
    </xf>
    <xf numFmtId="165" fontId="13" fillId="6" borderId="0" xfId="12" applyFont="1" applyFill="1" applyBorder="1" applyAlignment="1">
      <alignment horizontal="center" vertical="center"/>
    </xf>
    <xf numFmtId="165" fontId="13" fillId="7" borderId="3" xfId="12" applyFont="1" applyFill="1" applyBorder="1" applyAlignment="1">
      <alignment horizontal="right" vertical="center"/>
    </xf>
    <xf numFmtId="165" fontId="14" fillId="7" borderId="3" xfId="12" applyFont="1" applyFill="1" applyBorder="1" applyAlignment="1">
      <alignment horizontal="right" vertical="center"/>
    </xf>
    <xf numFmtId="165" fontId="13" fillId="7" borderId="5" xfId="12" applyFont="1" applyFill="1" applyBorder="1" applyAlignment="1">
      <alignment horizontal="right" vertical="center"/>
    </xf>
    <xf numFmtId="165" fontId="14" fillId="7" borderId="5" xfId="12" applyFont="1" applyFill="1" applyBorder="1" applyAlignment="1">
      <alignment horizontal="right" vertical="center"/>
    </xf>
    <xf numFmtId="165" fontId="13" fillId="7" borderId="0" xfId="12" applyFont="1" applyFill="1" applyBorder="1" applyAlignment="1">
      <alignment horizontal="center" vertical="center"/>
    </xf>
    <xf numFmtId="165" fontId="14" fillId="5" borderId="3" xfId="12" applyFont="1" applyFill="1" applyBorder="1" applyAlignment="1">
      <alignment horizontal="right" vertical="center"/>
    </xf>
    <xf numFmtId="165" fontId="13" fillId="6" borderId="10" xfId="12" applyFont="1" applyFill="1" applyBorder="1" applyAlignment="1">
      <alignment horizontal="center" vertical="center"/>
    </xf>
    <xf numFmtId="165" fontId="14" fillId="7" borderId="3" xfId="12" applyFont="1" applyFill="1" applyBorder="1" applyAlignment="1">
      <alignment horizontal="center" vertical="center"/>
    </xf>
    <xf numFmtId="165" fontId="14" fillId="7" borderId="2" xfId="12" applyFont="1" applyFill="1" applyBorder="1" applyAlignment="1">
      <alignment horizontal="right" vertical="center"/>
    </xf>
    <xf numFmtId="165" fontId="14" fillId="5" borderId="5" xfId="12" applyFont="1" applyFill="1" applyBorder="1" applyAlignment="1">
      <alignment horizontal="right" vertical="center"/>
    </xf>
    <xf numFmtId="0" fontId="10" fillId="5" borderId="3"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3" xfId="0" applyFont="1" applyFill="1" applyBorder="1" applyAlignment="1">
      <alignment horizontal="right" vertical="center" wrapText="1"/>
    </xf>
    <xf numFmtId="165" fontId="23" fillId="5" borderId="3" xfId="0" applyNumberFormat="1" applyFont="1" applyFill="1" applyBorder="1" applyAlignment="1">
      <alignment horizontal="left" vertical="center" wrapText="1"/>
    </xf>
    <xf numFmtId="0" fontId="10" fillId="5" borderId="6" xfId="0" applyFont="1" applyFill="1" applyBorder="1" applyAlignment="1">
      <alignment horizontal="left" vertical="center"/>
    </xf>
    <xf numFmtId="0" fontId="10" fillId="5" borderId="6" xfId="0" applyFont="1" applyFill="1" applyBorder="1" applyAlignment="1">
      <alignment horizontal="center" vertical="center"/>
    </xf>
    <xf numFmtId="165" fontId="11" fillId="5" borderId="6" xfId="12" applyFont="1" applyFill="1" applyBorder="1" applyAlignment="1" applyProtection="1">
      <alignment horizontal="center" vertical="center"/>
    </xf>
    <xf numFmtId="165" fontId="12" fillId="5" borderId="3" xfId="12" applyFont="1" applyFill="1" applyBorder="1" applyAlignment="1" applyProtection="1">
      <alignment horizontal="right" vertical="center"/>
    </xf>
    <xf numFmtId="165" fontId="11" fillId="5" borderId="3" xfId="12" applyFont="1" applyFill="1" applyBorder="1" applyAlignment="1" applyProtection="1">
      <alignment horizontal="right" vertical="center"/>
    </xf>
    <xf numFmtId="0" fontId="11" fillId="6" borderId="2" xfId="0" applyFont="1" applyFill="1" applyBorder="1" applyAlignment="1">
      <alignment vertical="center"/>
    </xf>
    <xf numFmtId="0" fontId="11" fillId="6" borderId="2" xfId="0" applyFont="1" applyFill="1" applyBorder="1" applyAlignment="1">
      <alignment horizontal="left" vertical="center" wrapText="1"/>
    </xf>
    <xf numFmtId="165" fontId="11" fillId="6" borderId="2" xfId="12" applyFont="1" applyFill="1" applyBorder="1" applyAlignment="1" applyProtection="1">
      <alignment horizontal="right" vertical="center"/>
    </xf>
    <xf numFmtId="0" fontId="11" fillId="5" borderId="3" xfId="0" applyFont="1" applyFill="1" applyBorder="1" applyAlignment="1">
      <alignment horizontal="left" vertical="center"/>
    </xf>
    <xf numFmtId="0" fontId="11" fillId="5" borderId="3" xfId="0" applyFont="1" applyFill="1" applyBorder="1" applyAlignment="1">
      <alignment horizontal="center" vertical="center"/>
    </xf>
    <xf numFmtId="165" fontId="12" fillId="5" borderId="3" xfId="12" applyFont="1" applyFill="1" applyBorder="1" applyAlignment="1" applyProtection="1">
      <alignment horizontal="right" vertical="center"/>
      <protection locked="0"/>
    </xf>
    <xf numFmtId="165" fontId="11" fillId="5" borderId="3" xfId="12" applyFont="1" applyFill="1" applyBorder="1" applyAlignment="1" applyProtection="1">
      <alignment horizontal="center" vertical="center"/>
    </xf>
    <xf numFmtId="0" fontId="14" fillId="5" borderId="3" xfId="4" applyFont="1" applyFill="1" applyBorder="1" applyAlignment="1">
      <alignment horizontal="left" vertical="center"/>
    </xf>
    <xf numFmtId="0" fontId="14" fillId="5" borderId="3" xfId="4" applyFont="1" applyFill="1" applyBorder="1" applyAlignment="1">
      <alignment horizontal="left" vertical="center" wrapText="1"/>
    </xf>
    <xf numFmtId="165" fontId="13" fillId="5" borderId="3" xfId="12" applyFont="1" applyFill="1" applyBorder="1" applyAlignment="1" applyProtection="1">
      <alignment horizontal="right" vertical="center"/>
    </xf>
    <xf numFmtId="10" fontId="13" fillId="5" borderId="3" xfId="9" applyNumberFormat="1" applyFont="1" applyFill="1" applyBorder="1" applyAlignment="1" applyProtection="1">
      <alignment horizontal="right" vertical="center"/>
    </xf>
    <xf numFmtId="0" fontId="2" fillId="5" borderId="3" xfId="0" applyFont="1" applyFill="1" applyBorder="1" applyAlignment="1">
      <alignment horizontal="center" vertical="center"/>
    </xf>
    <xf numFmtId="0" fontId="10"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16" xfId="4" applyFont="1" applyFill="1" applyBorder="1" applyAlignment="1">
      <alignment horizontal="center" vertical="center" wrapText="1"/>
    </xf>
    <xf numFmtId="4" fontId="0" fillId="5" borderId="3" xfId="0" applyNumberFormat="1" applyFill="1" applyBorder="1"/>
    <xf numFmtId="4" fontId="10" fillId="5" borderId="15" xfId="0" applyNumberFormat="1" applyFont="1" applyFill="1" applyBorder="1" applyAlignment="1">
      <alignment horizontal="right" vertical="center"/>
    </xf>
    <xf numFmtId="165" fontId="0" fillId="5" borderId="9" xfId="0" applyNumberFormat="1" applyFill="1" applyBorder="1" applyAlignment="1">
      <alignment horizontal="right" vertical="center"/>
    </xf>
    <xf numFmtId="165" fontId="0" fillId="5" borderId="3" xfId="0" applyNumberFormat="1" applyFill="1" applyBorder="1" applyAlignment="1">
      <alignment horizontal="right" vertical="center"/>
    </xf>
    <xf numFmtId="0" fontId="2" fillId="3" borderId="21" xfId="0" applyFont="1" applyFill="1" applyBorder="1" applyAlignment="1">
      <alignment horizontal="left" vertical="center" wrapText="1"/>
    </xf>
    <xf numFmtId="14" fontId="0" fillId="2" borderId="0" xfId="0" applyNumberFormat="1" applyFill="1" applyAlignment="1">
      <alignment vertical="center"/>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5" fillId="5" borderId="7" xfId="0" applyFont="1" applyFill="1" applyBorder="1" applyAlignment="1">
      <alignment horizontal="center" vertical="center"/>
    </xf>
    <xf numFmtId="17" fontId="5" fillId="5" borderId="7" xfId="0" applyNumberFormat="1" applyFont="1" applyFill="1" applyBorder="1" applyAlignment="1">
      <alignment horizontal="right" vertical="center"/>
    </xf>
    <xf numFmtId="0" fontId="13" fillId="3" borderId="1" xfId="0" applyFont="1" applyFill="1" applyBorder="1" applyAlignment="1">
      <alignment horizontal="left" vertical="center"/>
    </xf>
    <xf numFmtId="0" fontId="13" fillId="3" borderId="1" xfId="0" applyFont="1" applyFill="1" applyBorder="1" applyAlignment="1">
      <alignment horizontal="left" vertical="center" wrapText="1"/>
    </xf>
    <xf numFmtId="0" fontId="13" fillId="3" borderId="0" xfId="0" applyFont="1" applyFill="1" applyAlignment="1">
      <alignment horizontal="right" vertical="center"/>
    </xf>
    <xf numFmtId="0" fontId="13" fillId="3" borderId="4" xfId="0"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5" borderId="3" xfId="0" applyFont="1" applyFill="1" applyBorder="1" applyAlignment="1">
      <alignment horizontal="center" vertical="center" wrapText="1"/>
    </xf>
    <xf numFmtId="17" fontId="5" fillId="5" borderId="3" xfId="0" applyNumberFormat="1" applyFont="1" applyFill="1" applyBorder="1" applyAlignment="1">
      <alignment horizontal="right" vertical="center"/>
    </xf>
    <xf numFmtId="0" fontId="14" fillId="5" borderId="3" xfId="4" applyFont="1" applyFill="1" applyBorder="1" applyAlignment="1">
      <alignment horizontal="center" vertical="center" wrapText="1"/>
    </xf>
    <xf numFmtId="0" fontId="18" fillId="5" borderId="5" xfId="4" applyFont="1" applyFill="1" applyBorder="1" applyAlignment="1">
      <alignment horizontal="left" vertical="center" wrapText="1"/>
    </xf>
    <xf numFmtId="0" fontId="14" fillId="5" borderId="5" xfId="4" applyFont="1" applyFill="1" applyBorder="1" applyAlignment="1">
      <alignment horizontal="left" vertical="center" wrapText="1"/>
    </xf>
    <xf numFmtId="0" fontId="18" fillId="5" borderId="3" xfId="4" applyFont="1" applyFill="1" applyBorder="1" applyAlignment="1">
      <alignment horizontal="left" vertical="center" wrapText="1"/>
    </xf>
    <xf numFmtId="4" fontId="14" fillId="5" borderId="3" xfId="4" applyNumberFormat="1" applyFont="1" applyFill="1" applyBorder="1" applyAlignment="1">
      <alignment horizontal="right" vertical="center" wrapText="1"/>
    </xf>
    <xf numFmtId="165" fontId="20" fillId="3" borderId="1" xfId="12" applyFont="1" applyFill="1" applyBorder="1" applyAlignment="1" applyProtection="1">
      <alignment horizontal="right" vertical="center" wrapText="1"/>
      <protection locked="0"/>
    </xf>
    <xf numFmtId="0" fontId="14" fillId="5" borderId="0" xfId="4" applyFont="1" applyFill="1" applyAlignment="1" applyProtection="1">
      <alignment horizontal="right" vertical="center" wrapText="1"/>
      <protection locked="0"/>
    </xf>
    <xf numFmtId="0" fontId="14" fillId="5" borderId="0" xfId="4" applyFont="1" applyFill="1" applyAlignment="1" applyProtection="1">
      <alignment horizontal="left" vertical="center"/>
      <protection locked="0"/>
    </xf>
    <xf numFmtId="165" fontId="21" fillId="5" borderId="3" xfId="12" applyFont="1" applyFill="1" applyBorder="1" applyAlignment="1" applyProtection="1">
      <alignment horizontal="right" vertical="center" wrapText="1"/>
    </xf>
    <xf numFmtId="165" fontId="21" fillId="2" borderId="10" xfId="12" applyFont="1" applyFill="1" applyBorder="1" applyAlignment="1" applyProtection="1">
      <alignment horizontal="right" vertical="center" wrapText="1"/>
    </xf>
    <xf numFmtId="4" fontId="14" fillId="5" borderId="5" xfId="4" applyNumberFormat="1" applyFont="1" applyFill="1" applyBorder="1" applyAlignment="1">
      <alignment horizontal="right" vertical="center" wrapText="1"/>
    </xf>
    <xf numFmtId="4" fontId="14" fillId="5" borderId="5" xfId="4" applyNumberFormat="1" applyFont="1" applyFill="1" applyBorder="1" applyAlignment="1">
      <alignment horizontal="center" vertical="center" wrapText="1"/>
    </xf>
    <xf numFmtId="0" fontId="14" fillId="5" borderId="3" xfId="4" applyFont="1" applyFill="1" applyBorder="1" applyAlignment="1">
      <alignment horizontal="right" vertical="center" wrapText="1"/>
    </xf>
    <xf numFmtId="0" fontId="5" fillId="5" borderId="0" xfId="0" applyFont="1" applyFill="1" applyAlignment="1">
      <alignment horizontal="center" vertical="center"/>
    </xf>
    <xf numFmtId="167" fontId="10" fillId="5" borderId="0" xfId="0" applyNumberFormat="1" applyFont="1" applyFill="1" applyAlignment="1">
      <alignment horizontal="right" vertical="center"/>
    </xf>
    <xf numFmtId="4" fontId="10" fillId="5" borderId="3" xfId="0" applyNumberFormat="1" applyFont="1" applyFill="1" applyBorder="1" applyAlignment="1">
      <alignment horizontal="right" vertical="center"/>
    </xf>
    <xf numFmtId="10" fontId="10" fillId="5" borderId="3" xfId="9" applyNumberFormat="1" applyFont="1" applyFill="1" applyBorder="1" applyAlignment="1" applyProtection="1">
      <alignment horizontal="right" vertical="center"/>
      <protection locked="0"/>
    </xf>
    <xf numFmtId="17" fontId="11" fillId="5" borderId="6" xfId="0" applyNumberFormat="1" applyFont="1" applyFill="1" applyBorder="1" applyAlignment="1">
      <alignment horizontal="right" vertical="center"/>
    </xf>
    <xf numFmtId="10" fontId="21" fillId="5" borderId="3" xfId="9" applyNumberFormat="1" applyFont="1" applyFill="1" applyBorder="1" applyAlignment="1" applyProtection="1">
      <alignment horizontal="right" vertical="center" wrapText="1"/>
    </xf>
    <xf numFmtId="0" fontId="19" fillId="2" borderId="1" xfId="4" applyFont="1" applyFill="1" applyBorder="1" applyAlignment="1">
      <alignment horizontal="left" vertical="center"/>
    </xf>
    <xf numFmtId="0" fontId="13" fillId="3" borderId="1" xfId="4" applyFont="1" applyFill="1" applyBorder="1" applyAlignment="1">
      <alignment horizontal="left" vertical="center" wrapText="1"/>
    </xf>
    <xf numFmtId="165" fontId="20" fillId="2" borderId="1" xfId="12" applyFont="1" applyFill="1" applyBorder="1" applyAlignment="1" applyProtection="1">
      <alignment horizontal="right" vertical="center" wrapText="1"/>
      <protection locked="0"/>
    </xf>
    <xf numFmtId="165" fontId="20" fillId="3" borderId="1" xfId="12" applyFont="1" applyFill="1" applyBorder="1" applyAlignment="1" applyProtection="1">
      <alignment horizontal="right" vertical="center" wrapText="1"/>
    </xf>
    <xf numFmtId="165" fontId="10" fillId="2" borderId="11" xfId="12" applyFont="1" applyFill="1" applyBorder="1" applyAlignment="1">
      <alignment horizontal="right" vertical="center"/>
    </xf>
    <xf numFmtId="165" fontId="2" fillId="2" borderId="12" xfId="12" applyFont="1" applyFill="1" applyBorder="1" applyAlignment="1">
      <alignment horizontal="right" vertical="center"/>
    </xf>
    <xf numFmtId="165" fontId="2" fillId="2" borderId="12" xfId="12" applyFont="1" applyFill="1" applyBorder="1" applyAlignment="1">
      <alignment vertical="center"/>
    </xf>
    <xf numFmtId="165" fontId="10" fillId="2" borderId="1" xfId="12" applyFont="1" applyFill="1" applyBorder="1" applyAlignment="1">
      <alignment horizontal="right" vertical="center"/>
    </xf>
    <xf numFmtId="165" fontId="10" fillId="2" borderId="1" xfId="12" applyFont="1" applyFill="1" applyBorder="1" applyAlignment="1" applyProtection="1">
      <alignment horizontal="right" vertical="center"/>
      <protection locked="0"/>
    </xf>
    <xf numFmtId="0" fontId="0" fillId="2" borderId="0" xfId="0" applyFill="1" applyAlignment="1">
      <alignment horizontal="right"/>
    </xf>
    <xf numFmtId="0" fontId="5" fillId="2" borderId="0" xfId="0" applyFont="1" applyFill="1" applyAlignment="1">
      <alignment horizontal="right" vertical="center"/>
    </xf>
    <xf numFmtId="165" fontId="2" fillId="2" borderId="0" xfId="12" applyFont="1" applyFill="1" applyBorder="1" applyAlignment="1" applyProtection="1">
      <alignment horizontal="right" vertical="center"/>
      <protection locked="0"/>
    </xf>
    <xf numFmtId="0" fontId="10" fillId="2" borderId="7" xfId="0" applyFont="1" applyFill="1" applyBorder="1" applyAlignment="1">
      <alignment vertical="center"/>
    </xf>
    <xf numFmtId="0" fontId="10" fillId="2" borderId="1" xfId="0" applyFont="1" applyFill="1" applyBorder="1" applyAlignment="1">
      <alignment vertical="center"/>
    </xf>
    <xf numFmtId="0" fontId="10" fillId="2" borderId="8" xfId="0" applyFont="1" applyFill="1" applyBorder="1" applyAlignment="1">
      <alignment vertical="center"/>
    </xf>
    <xf numFmtId="0" fontId="3" fillId="3" borderId="28" xfId="0" applyFont="1" applyFill="1" applyBorder="1" applyAlignment="1" applyProtection="1">
      <alignment horizontal="left" vertical="center" wrapText="1"/>
      <protection locked="0"/>
    </xf>
    <xf numFmtId="165" fontId="3" fillId="3" borderId="28" xfId="12" applyFont="1" applyFill="1" applyBorder="1" applyAlignment="1" applyProtection="1">
      <alignment horizontal="right" vertical="center" wrapText="1"/>
      <protection locked="0"/>
    </xf>
    <xf numFmtId="166" fontId="3" fillId="3" borderId="28" xfId="0" applyNumberFormat="1" applyFont="1" applyFill="1" applyBorder="1" applyAlignment="1" applyProtection="1">
      <alignment horizontal="left" vertical="center" wrapText="1"/>
      <protection locked="0"/>
    </xf>
    <xf numFmtId="0" fontId="3" fillId="3" borderId="34" xfId="0" applyFont="1" applyFill="1" applyBorder="1" applyAlignment="1" applyProtection="1">
      <alignment horizontal="left" vertical="center" wrapText="1"/>
      <protection locked="0"/>
    </xf>
    <xf numFmtId="0" fontId="3" fillId="3" borderId="36" xfId="0" applyFont="1" applyFill="1" applyBorder="1" applyAlignment="1" applyProtection="1">
      <alignment horizontal="left" vertical="center" wrapText="1"/>
      <protection locked="0"/>
    </xf>
    <xf numFmtId="0" fontId="3" fillId="3" borderId="37" xfId="0" applyFont="1" applyFill="1" applyBorder="1" applyAlignment="1" applyProtection="1">
      <alignment horizontal="left" vertical="center" wrapText="1"/>
      <protection locked="0"/>
    </xf>
    <xf numFmtId="0" fontId="3" fillId="3" borderId="38" xfId="0" applyFont="1" applyFill="1" applyBorder="1" applyAlignment="1" applyProtection="1">
      <alignment horizontal="left" vertical="center" wrapText="1"/>
      <protection locked="0"/>
    </xf>
    <xf numFmtId="165" fontId="3" fillId="3" borderId="38" xfId="12" applyFont="1" applyFill="1" applyBorder="1" applyAlignment="1" applyProtection="1">
      <alignment horizontal="right" vertical="center" wrapText="1"/>
      <protection locked="0"/>
    </xf>
    <xf numFmtId="166" fontId="3" fillId="3" borderId="38" xfId="0" applyNumberFormat="1" applyFont="1" applyFill="1" applyBorder="1" applyAlignment="1" applyProtection="1">
      <alignment horizontal="left" vertical="center" wrapText="1"/>
      <protection locked="0"/>
    </xf>
    <xf numFmtId="0" fontId="3" fillId="3" borderId="39" xfId="0" applyFont="1" applyFill="1" applyBorder="1" applyAlignment="1" applyProtection="1">
      <alignment horizontal="left" vertical="center" wrapText="1"/>
      <protection locked="0"/>
    </xf>
    <xf numFmtId="0" fontId="29" fillId="3" borderId="36" xfId="14" applyFont="1" applyFill="1" applyBorder="1" applyAlignment="1">
      <alignment horizontal="center"/>
    </xf>
    <xf numFmtId="0" fontId="29" fillId="3" borderId="28" xfId="14" applyFont="1" applyFill="1" applyBorder="1" applyAlignment="1">
      <alignment horizontal="left" vertical="center" wrapText="1"/>
    </xf>
    <xf numFmtId="4" fontId="29" fillId="3" borderId="28" xfId="14" applyNumberFormat="1" applyFont="1" applyFill="1" applyBorder="1" applyAlignment="1">
      <alignment horizontal="right" vertical="center" wrapText="1"/>
    </xf>
    <xf numFmtId="0" fontId="29" fillId="3" borderId="28" xfId="14" applyFont="1" applyFill="1" applyBorder="1" applyAlignment="1">
      <alignment horizontal="right" vertical="center" wrapText="1"/>
    </xf>
    <xf numFmtId="14" fontId="29" fillId="3" borderId="28" xfId="14" applyNumberFormat="1" applyFont="1" applyFill="1" applyBorder="1" applyAlignment="1">
      <alignment horizontal="left" vertical="center"/>
    </xf>
    <xf numFmtId="14" fontId="29" fillId="3" borderId="34" xfId="14" applyNumberFormat="1" applyFont="1" applyFill="1" applyBorder="1" applyAlignment="1">
      <alignment horizontal="left" vertical="center"/>
    </xf>
    <xf numFmtId="0" fontId="11" fillId="5" borderId="13" xfId="14" applyFont="1" applyFill="1" applyBorder="1" applyAlignment="1">
      <alignment horizontal="center" vertical="center" wrapText="1"/>
    </xf>
    <xf numFmtId="165" fontId="11" fillId="5" borderId="13" xfId="15" applyFont="1" applyFill="1" applyBorder="1" applyAlignment="1" applyProtection="1">
      <alignment horizontal="center" vertical="center" wrapText="1"/>
    </xf>
    <xf numFmtId="10" fontId="2" fillId="5" borderId="16" xfId="9" applyNumberFormat="1" applyFont="1" applyFill="1" applyBorder="1" applyAlignment="1" applyProtection="1">
      <alignment horizontal="right" vertical="center"/>
    </xf>
    <xf numFmtId="165" fontId="2" fillId="2" borderId="0" xfId="12" applyFont="1" applyFill="1" applyBorder="1" applyAlignment="1" applyProtection="1">
      <alignment horizontal="right" vertical="center"/>
    </xf>
    <xf numFmtId="14" fontId="12" fillId="2" borderId="29" xfId="0" applyNumberFormat="1" applyFont="1" applyFill="1" applyBorder="1" applyAlignment="1" applyProtection="1">
      <alignment horizontal="right" vertical="center" wrapText="1"/>
      <protection locked="0"/>
    </xf>
    <xf numFmtId="0" fontId="12" fillId="2" borderId="29" xfId="0" applyFont="1" applyFill="1" applyBorder="1" applyAlignment="1" applyProtection="1">
      <alignment horizontal="left" vertical="center" wrapText="1"/>
      <protection locked="0"/>
    </xf>
    <xf numFmtId="165" fontId="12" fillId="2" borderId="29" xfId="12" applyFont="1" applyFill="1" applyBorder="1" applyAlignment="1" applyProtection="1">
      <alignment horizontal="right" vertical="center" wrapText="1"/>
      <protection locked="0"/>
    </xf>
    <xf numFmtId="0" fontId="12" fillId="2" borderId="29" xfId="0" applyFont="1" applyFill="1" applyBorder="1" applyAlignment="1" applyProtection="1">
      <alignment horizontal="center" vertical="center" wrapText="1"/>
      <protection locked="0"/>
    </xf>
    <xf numFmtId="0" fontId="12" fillId="3" borderId="29" xfId="0" applyFont="1" applyFill="1" applyBorder="1" applyAlignment="1" applyProtection="1">
      <alignment horizontal="center" vertical="center" wrapText="1"/>
      <protection locked="0"/>
    </xf>
    <xf numFmtId="0" fontId="12" fillId="0" borderId="29" xfId="0" applyFont="1" applyBorder="1" applyAlignment="1" applyProtection="1">
      <alignment horizontal="left" vertical="center" wrapText="1"/>
      <protection locked="0"/>
    </xf>
    <xf numFmtId="0" fontId="12" fillId="5" borderId="29" xfId="0" applyFont="1" applyFill="1" applyBorder="1" applyAlignment="1" applyProtection="1">
      <alignment horizontal="left" vertical="center" wrapText="1"/>
      <protection locked="0"/>
    </xf>
    <xf numFmtId="0" fontId="12" fillId="5" borderId="35" xfId="0" applyFont="1" applyFill="1" applyBorder="1" applyAlignment="1" applyProtection="1">
      <alignment horizontal="left" vertical="center" wrapText="1"/>
      <protection locked="0"/>
    </xf>
    <xf numFmtId="0" fontId="12" fillId="3" borderId="29" xfId="0" applyFont="1" applyFill="1" applyBorder="1" applyAlignment="1" applyProtection="1">
      <alignment horizontal="left" vertical="center"/>
      <protection locked="0"/>
    </xf>
    <xf numFmtId="0" fontId="12" fillId="3" borderId="35" xfId="0" applyFont="1" applyFill="1" applyBorder="1" applyAlignment="1" applyProtection="1">
      <alignment horizontal="left" vertical="center"/>
      <protection locked="0"/>
    </xf>
    <xf numFmtId="0" fontId="24" fillId="3" borderId="0" xfId="0" applyFont="1" applyFill="1" applyAlignment="1" applyProtection="1">
      <alignment horizontal="center"/>
      <protection locked="0"/>
    </xf>
    <xf numFmtId="0" fontId="12" fillId="2" borderId="35" xfId="0" applyFont="1" applyFill="1" applyBorder="1" applyAlignment="1">
      <alignment horizontal="left" vertical="center" wrapText="1"/>
    </xf>
    <xf numFmtId="0" fontId="2" fillId="3" borderId="0" xfId="0" applyFont="1" applyFill="1" applyAlignment="1">
      <alignment horizontal="left"/>
    </xf>
    <xf numFmtId="165" fontId="21" fillId="2" borderId="1" xfId="12" applyFont="1" applyFill="1" applyBorder="1" applyAlignment="1" applyProtection="1">
      <alignment horizontal="right" vertical="center" wrapText="1"/>
      <protection locked="0"/>
    </xf>
    <xf numFmtId="0" fontId="35" fillId="9" borderId="12" xfId="0" applyFont="1" applyFill="1" applyBorder="1" applyAlignment="1" applyProtection="1">
      <alignment horizontal="center" vertical="center"/>
      <protection locked="0"/>
    </xf>
    <xf numFmtId="0" fontId="35" fillId="9" borderId="44" xfId="0" applyFont="1" applyFill="1" applyBorder="1" applyAlignment="1" applyProtection="1">
      <alignment horizontal="center" vertical="center"/>
      <protection locked="0"/>
    </xf>
    <xf numFmtId="0" fontId="35" fillId="9" borderId="12" xfId="0" applyFont="1" applyFill="1" applyBorder="1" applyAlignment="1" applyProtection="1">
      <alignment horizontal="center" vertical="center" wrapText="1"/>
      <protection locked="0"/>
    </xf>
    <xf numFmtId="0" fontId="35" fillId="9" borderId="45" xfId="0" applyFont="1" applyFill="1" applyBorder="1" applyAlignment="1" applyProtection="1">
      <alignment horizontal="center" vertical="center"/>
      <protection locked="0"/>
    </xf>
    <xf numFmtId="0" fontId="35" fillId="10" borderId="1" xfId="0" applyFont="1" applyFill="1" applyBorder="1" applyAlignment="1" applyProtection="1">
      <alignment vertical="center"/>
      <protection locked="0"/>
    </xf>
    <xf numFmtId="0" fontId="35" fillId="10" borderId="27" xfId="0" applyFont="1" applyFill="1" applyBorder="1" applyAlignment="1" applyProtection="1">
      <alignment vertical="center"/>
      <protection locked="0"/>
    </xf>
    <xf numFmtId="0" fontId="35" fillId="10" borderId="46" xfId="0" applyFont="1" applyFill="1" applyBorder="1" applyAlignment="1" applyProtection="1">
      <alignment vertical="center"/>
      <protection locked="0"/>
    </xf>
    <xf numFmtId="165" fontId="34" fillId="10" borderId="47" xfId="0" applyNumberFormat="1" applyFont="1" applyFill="1" applyBorder="1" applyAlignment="1" applyProtection="1">
      <alignment horizontal="right" vertical="center"/>
      <protection locked="0"/>
    </xf>
    <xf numFmtId="165" fontId="34" fillId="10" borderId="48" xfId="0" applyNumberFormat="1" applyFont="1" applyFill="1" applyBorder="1" applyAlignment="1" applyProtection="1">
      <alignment horizontal="right" vertical="center"/>
      <protection locked="0"/>
    </xf>
    <xf numFmtId="165" fontId="34" fillId="10" borderId="49" xfId="0" applyNumberFormat="1" applyFont="1" applyFill="1" applyBorder="1" applyAlignment="1" applyProtection="1">
      <alignment horizontal="right" vertical="center"/>
      <protection locked="0"/>
    </xf>
    <xf numFmtId="165" fontId="34" fillId="10" borderId="50" xfId="0" applyNumberFormat="1" applyFont="1" applyFill="1" applyBorder="1" applyAlignment="1">
      <alignment horizontal="right" vertical="center"/>
    </xf>
    <xf numFmtId="165" fontId="34" fillId="10" borderId="48" xfId="0" applyNumberFormat="1" applyFont="1" applyFill="1" applyBorder="1" applyAlignment="1">
      <alignment horizontal="right" vertical="center"/>
    </xf>
    <xf numFmtId="0" fontId="35" fillId="10" borderId="19" xfId="0" applyFont="1" applyFill="1" applyBorder="1" applyAlignment="1" applyProtection="1">
      <alignment vertical="center"/>
      <protection locked="0"/>
    </xf>
    <xf numFmtId="165" fontId="34" fillId="10" borderId="51" xfId="0" applyNumberFormat="1" applyFont="1" applyFill="1" applyBorder="1" applyAlignment="1" applyProtection="1">
      <alignment horizontal="right" vertical="center"/>
      <protection locked="0"/>
    </xf>
    <xf numFmtId="165" fontId="34" fillId="10" borderId="52" xfId="0" applyNumberFormat="1" applyFont="1" applyFill="1" applyBorder="1" applyAlignment="1" applyProtection="1">
      <alignment horizontal="right" vertical="center"/>
      <protection locked="0"/>
    </xf>
    <xf numFmtId="165" fontId="34" fillId="10" borderId="52" xfId="0" applyNumberFormat="1" applyFont="1" applyFill="1" applyBorder="1" applyAlignment="1">
      <alignment horizontal="right" vertical="center"/>
    </xf>
    <xf numFmtId="0" fontId="35" fillId="10" borderId="53" xfId="0" applyFont="1" applyFill="1" applyBorder="1" applyAlignment="1" applyProtection="1">
      <alignment vertical="center"/>
      <protection locked="0"/>
    </xf>
    <xf numFmtId="0" fontId="35" fillId="10" borderId="54" xfId="0" applyFont="1" applyFill="1" applyBorder="1" applyAlignment="1" applyProtection="1">
      <alignment vertical="center"/>
      <protection locked="0"/>
    </xf>
    <xf numFmtId="0" fontId="35" fillId="9" borderId="55" xfId="0" applyFont="1" applyFill="1" applyBorder="1" applyAlignment="1" applyProtection="1">
      <alignment vertical="center"/>
      <protection locked="0"/>
    </xf>
    <xf numFmtId="165" fontId="34" fillId="9" borderId="56" xfId="0" applyNumberFormat="1" applyFont="1" applyFill="1" applyBorder="1" applyAlignment="1">
      <alignment horizontal="right" vertical="center"/>
    </xf>
    <xf numFmtId="165" fontId="34" fillId="9" borderId="55" xfId="0" applyNumberFormat="1" applyFont="1" applyFill="1" applyBorder="1" applyAlignment="1">
      <alignment horizontal="right" vertical="center"/>
    </xf>
    <xf numFmtId="165" fontId="34" fillId="9" borderId="57" xfId="0" applyNumberFormat="1" applyFont="1" applyFill="1" applyBorder="1" applyAlignment="1">
      <alignment horizontal="right" vertical="center"/>
    </xf>
    <xf numFmtId="165" fontId="34" fillId="9" borderId="58" xfId="0" applyNumberFormat="1" applyFont="1" applyFill="1" applyBorder="1" applyAlignment="1">
      <alignment horizontal="right" vertical="center"/>
    </xf>
    <xf numFmtId="167" fontId="12" fillId="3" borderId="13" xfId="0" applyNumberFormat="1" applyFont="1" applyFill="1" applyBorder="1" applyAlignment="1" applyProtection="1">
      <alignment horizontal="left" vertical="center" wrapText="1"/>
      <protection locked="0"/>
    </xf>
    <xf numFmtId="14" fontId="12" fillId="2" borderId="13" xfId="0" applyNumberFormat="1" applyFont="1" applyFill="1" applyBorder="1" applyAlignment="1" applyProtection="1">
      <alignment horizontal="right" vertical="center" wrapText="1"/>
      <protection locked="0"/>
    </xf>
    <xf numFmtId="17" fontId="12" fillId="2" borderId="13" xfId="0" applyNumberFormat="1" applyFont="1" applyFill="1" applyBorder="1" applyAlignment="1" applyProtection="1">
      <alignment horizontal="right" vertical="center" wrapText="1"/>
      <protection locked="0"/>
    </xf>
    <xf numFmtId="0" fontId="12" fillId="2" borderId="13" xfId="0" applyFont="1" applyFill="1" applyBorder="1" applyAlignment="1" applyProtection="1">
      <alignment horizontal="left" vertical="center" wrapText="1"/>
      <protection locked="0"/>
    </xf>
    <xf numFmtId="0" fontId="12" fillId="2" borderId="13" xfId="0" applyFont="1" applyFill="1" applyBorder="1" applyAlignment="1">
      <alignment horizontal="left" vertical="center" wrapText="1"/>
    </xf>
    <xf numFmtId="0" fontId="12" fillId="2" borderId="13"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left" vertical="center" wrapText="1"/>
      <protection locked="0"/>
    </xf>
    <xf numFmtId="0" fontId="12" fillId="3" borderId="13" xfId="6"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13" xfId="3" applyFont="1" applyFill="1" applyBorder="1" applyAlignment="1">
      <alignment horizontal="left" vertical="center" wrapText="1"/>
    </xf>
    <xf numFmtId="0" fontId="12" fillId="3" borderId="13" xfId="0" applyFont="1" applyFill="1" applyBorder="1" applyAlignment="1">
      <alignment vertical="center" wrapText="1"/>
    </xf>
    <xf numFmtId="0" fontId="12" fillId="0" borderId="13" xfId="0" applyFont="1" applyBorder="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165" fontId="12" fillId="2" borderId="13" xfId="12" applyFont="1" applyFill="1" applyBorder="1" applyAlignment="1" applyProtection="1">
      <alignment horizontal="right" vertical="center" wrapText="1"/>
      <protection locked="0"/>
    </xf>
    <xf numFmtId="0" fontId="2" fillId="2" borderId="0" xfId="0" applyFont="1" applyFill="1" applyAlignment="1" applyProtection="1">
      <alignment wrapText="1"/>
      <protection locked="0"/>
    </xf>
    <xf numFmtId="14" fontId="12" fillId="0" borderId="13" xfId="0" applyNumberFormat="1" applyFont="1" applyBorder="1" applyAlignment="1">
      <alignment horizontal="center" vertical="center" wrapText="1"/>
    </xf>
    <xf numFmtId="0" fontId="12" fillId="3" borderId="13" xfId="0" applyFont="1" applyFill="1" applyBorder="1" applyAlignment="1" applyProtection="1">
      <alignment horizontal="center" vertical="center" wrapText="1"/>
      <protection locked="0"/>
    </xf>
    <xf numFmtId="4" fontId="12" fillId="0" borderId="13" xfId="0" applyNumberFormat="1" applyFont="1" applyBorder="1" applyAlignment="1">
      <alignment horizontal="right" vertical="center" wrapText="1"/>
    </xf>
    <xf numFmtId="0" fontId="0" fillId="0" borderId="13" xfId="0" applyBorder="1"/>
    <xf numFmtId="0" fontId="0" fillId="0" borderId="13" xfId="0" applyBorder="1" applyAlignment="1">
      <alignment wrapText="1"/>
    </xf>
    <xf numFmtId="165" fontId="0" fillId="0" borderId="13" xfId="12" applyFont="1" applyBorder="1"/>
    <xf numFmtId="0" fontId="36" fillId="3" borderId="0" xfId="0" applyFont="1" applyFill="1" applyAlignment="1" applyProtection="1">
      <alignment horizontal="center" vertical="center" wrapText="1"/>
      <protection locked="0"/>
    </xf>
    <xf numFmtId="14" fontId="24" fillId="3" borderId="0" xfId="0" applyNumberFormat="1" applyFont="1" applyFill="1" applyAlignment="1" applyProtection="1">
      <alignment horizontal="center"/>
      <protection locked="0"/>
    </xf>
    <xf numFmtId="0" fontId="11" fillId="5" borderId="13" xfId="0" applyFont="1" applyFill="1" applyBorder="1" applyAlignment="1">
      <alignment horizontal="center" vertical="center" wrapText="1"/>
    </xf>
    <xf numFmtId="165" fontId="11" fillId="5" borderId="13" xfId="12" applyFont="1" applyFill="1" applyBorder="1" applyAlignment="1" applyProtection="1">
      <alignment horizontal="center" vertical="center"/>
    </xf>
    <xf numFmtId="165" fontId="11" fillId="5" borderId="13" xfId="12" applyFont="1" applyFill="1" applyBorder="1" applyAlignment="1" applyProtection="1">
      <alignment horizontal="center" vertical="center" wrapText="1"/>
    </xf>
    <xf numFmtId="0" fontId="10" fillId="8" borderId="13" xfId="0" applyFont="1" applyFill="1" applyBorder="1" applyAlignment="1">
      <alignment horizontal="center" vertical="center" wrapText="1"/>
    </xf>
    <xf numFmtId="0" fontId="10" fillId="5" borderId="13" xfId="0" applyFont="1" applyFill="1" applyBorder="1" applyAlignment="1">
      <alignment horizontal="center" vertical="center" wrapText="1"/>
    </xf>
    <xf numFmtId="49" fontId="12" fillId="0" borderId="13" xfId="3" applyNumberFormat="1" applyFont="1" applyBorder="1" applyAlignment="1">
      <alignment horizontal="center"/>
    </xf>
    <xf numFmtId="165" fontId="12" fillId="0" borderId="29" xfId="12" applyFont="1" applyFill="1" applyBorder="1" applyAlignment="1" applyProtection="1">
      <alignment horizontal="right" vertical="center" wrapText="1"/>
      <protection locked="0"/>
    </xf>
    <xf numFmtId="0" fontId="12" fillId="0" borderId="13" xfId="0" applyFont="1" applyBorder="1" applyAlignment="1">
      <alignment wrapText="1"/>
    </xf>
    <xf numFmtId="14" fontId="12" fillId="3" borderId="13" xfId="3" applyNumberFormat="1" applyFont="1" applyFill="1" applyBorder="1" applyAlignment="1">
      <alignment horizontal="right" wrapText="1"/>
    </xf>
    <xf numFmtId="4" fontId="12" fillId="3" borderId="13" xfId="3" applyNumberFormat="1" applyFont="1" applyFill="1" applyBorder="1" applyAlignment="1">
      <alignment horizontal="right"/>
    </xf>
    <xf numFmtId="4" fontId="12" fillId="3" borderId="13" xfId="3" applyNumberFormat="1" applyFont="1" applyFill="1" applyBorder="1" applyAlignment="1">
      <alignment horizontal="left" wrapText="1"/>
    </xf>
    <xf numFmtId="0" fontId="12" fillId="0" borderId="13" xfId="3" applyFont="1" applyBorder="1" applyAlignment="1">
      <alignment wrapText="1"/>
    </xf>
    <xf numFmtId="14" fontId="12" fillId="0" borderId="13" xfId="3" applyNumberFormat="1" applyFont="1" applyBorder="1" applyAlignment="1">
      <alignment horizontal="right" wrapText="1"/>
    </xf>
    <xf numFmtId="4" fontId="12" fillId="0" borderId="13" xfId="3" applyNumberFormat="1" applyFont="1" applyBorder="1" applyAlignment="1">
      <alignment horizontal="right" vertical="center"/>
    </xf>
    <xf numFmtId="4" fontId="12" fillId="0" borderId="13" xfId="3" applyNumberFormat="1" applyFont="1" applyBorder="1" applyAlignment="1">
      <alignment horizontal="right"/>
    </xf>
    <xf numFmtId="0" fontId="12" fillId="0" borderId="13" xfId="3" applyFont="1" applyBorder="1" applyAlignment="1" applyProtection="1">
      <alignment horizontal="left" vertical="center" wrapText="1"/>
      <protection locked="0"/>
    </xf>
    <xf numFmtId="165" fontId="12" fillId="3" borderId="13" xfId="12" applyFont="1" applyFill="1" applyBorder="1" applyAlignment="1" applyProtection="1">
      <alignment horizontal="right" vertical="center" wrapText="1"/>
      <protection locked="0"/>
    </xf>
    <xf numFmtId="0" fontId="12" fillId="5" borderId="13" xfId="0" applyFont="1" applyFill="1" applyBorder="1" applyAlignment="1" applyProtection="1">
      <alignment horizontal="left" vertical="center" wrapText="1"/>
      <protection locked="0"/>
    </xf>
    <xf numFmtId="10" fontId="12" fillId="0" borderId="13" xfId="3" applyNumberFormat="1" applyFont="1" applyBorder="1" applyAlignment="1">
      <alignment horizontal="left" wrapText="1"/>
    </xf>
    <xf numFmtId="0" fontId="38" fillId="3" borderId="18" xfId="0" applyFont="1" applyFill="1" applyBorder="1" applyAlignment="1">
      <alignment horizontal="right" vertical="center" wrapText="1"/>
    </xf>
    <xf numFmtId="0" fontId="12" fillId="2" borderId="59" xfId="0" applyFont="1" applyFill="1" applyBorder="1" applyAlignment="1" applyProtection="1">
      <alignment horizontal="center" vertical="center" wrapText="1"/>
      <protection locked="0"/>
    </xf>
    <xf numFmtId="14" fontId="12" fillId="3" borderId="13" xfId="0" applyNumberFormat="1" applyFont="1" applyFill="1" applyBorder="1" applyAlignment="1" applyProtection="1">
      <alignment horizontal="right" vertical="center" wrapText="1"/>
      <protection locked="0"/>
    </xf>
    <xf numFmtId="17" fontId="12" fillId="3" borderId="13" xfId="0" applyNumberFormat="1" applyFont="1" applyFill="1" applyBorder="1" applyAlignment="1" applyProtection="1">
      <alignment horizontal="right" vertical="center" wrapText="1"/>
      <protection locked="0"/>
    </xf>
    <xf numFmtId="0" fontId="12" fillId="3" borderId="13" xfId="0" applyFont="1" applyFill="1" applyBorder="1" applyAlignment="1">
      <alignment horizontal="left" vertical="top" wrapText="1"/>
    </xf>
    <xf numFmtId="4" fontId="12" fillId="3" borderId="13" xfId="0" applyNumberFormat="1" applyFont="1" applyFill="1" applyBorder="1" applyAlignment="1">
      <alignment horizontal="right" vertical="center" wrapText="1"/>
    </xf>
    <xf numFmtId="0" fontId="12" fillId="3" borderId="13" xfId="0" applyFont="1" applyFill="1" applyBorder="1" applyAlignment="1">
      <alignment horizontal="center" vertical="center" wrapText="1"/>
    </xf>
    <xf numFmtId="14" fontId="12" fillId="3" borderId="13" xfId="0" applyNumberFormat="1" applyFont="1" applyFill="1" applyBorder="1" applyAlignment="1">
      <alignment horizontal="center" vertical="center" wrapText="1"/>
    </xf>
    <xf numFmtId="14" fontId="0" fillId="0" borderId="13" xfId="0" applyNumberFormat="1" applyBorder="1"/>
    <xf numFmtId="1" fontId="0" fillId="0" borderId="13" xfId="0" applyNumberFormat="1" applyBorder="1"/>
    <xf numFmtId="0" fontId="2" fillId="4" borderId="0" xfId="0" applyFont="1" applyFill="1" applyAlignment="1" applyProtection="1">
      <alignment wrapText="1"/>
      <protection locked="0"/>
    </xf>
    <xf numFmtId="0" fontId="2" fillId="3" borderId="0" xfId="0" applyFont="1" applyFill="1" applyAlignment="1" applyProtection="1">
      <alignment wrapText="1"/>
      <protection locked="0"/>
    </xf>
    <xf numFmtId="0" fontId="2" fillId="3" borderId="0" xfId="0" applyFont="1" applyFill="1" applyAlignment="1" applyProtection="1">
      <alignment horizontal="left" vertical="center" wrapText="1"/>
      <protection locked="0"/>
    </xf>
    <xf numFmtId="0" fontId="2" fillId="3" borderId="0" xfId="0" applyFont="1" applyFill="1" applyAlignment="1" applyProtection="1">
      <alignment horizontal="center" vertical="center" wrapText="1"/>
      <protection locked="0"/>
    </xf>
    <xf numFmtId="0" fontId="12" fillId="2" borderId="13" xfId="0" applyFont="1" applyFill="1" applyBorder="1" applyAlignment="1">
      <alignment horizontal="right" vertical="center" wrapText="1"/>
    </xf>
    <xf numFmtId="166" fontId="10" fillId="5" borderId="13" xfId="0" applyNumberFormat="1" applyFont="1" applyFill="1" applyBorder="1" applyAlignment="1">
      <alignment horizontal="center" vertical="center" wrapText="1"/>
    </xf>
    <xf numFmtId="165" fontId="12" fillId="3" borderId="13" xfId="12" applyFont="1" applyFill="1" applyBorder="1" applyAlignment="1" applyProtection="1">
      <alignment horizontal="left" vertical="center" wrapText="1"/>
      <protection locked="0"/>
    </xf>
    <xf numFmtId="0" fontId="39" fillId="0" borderId="13" xfId="0" applyFont="1" applyBorder="1" applyAlignment="1">
      <alignment horizontal="left" vertical="top" wrapText="1"/>
    </xf>
    <xf numFmtId="4" fontId="39" fillId="0" borderId="13" xfId="0" applyNumberFormat="1" applyFont="1" applyBorder="1" applyAlignment="1">
      <alignment horizontal="right" vertical="center" wrapText="1"/>
    </xf>
    <xf numFmtId="43" fontId="3" fillId="2" borderId="0" xfId="0" applyNumberFormat="1" applyFont="1" applyFill="1" applyAlignment="1" applyProtection="1">
      <alignment horizontal="left" vertical="center"/>
      <protection locked="0"/>
    </xf>
    <xf numFmtId="43" fontId="0" fillId="2" borderId="0" xfId="0" applyNumberFormat="1" applyFill="1" applyAlignment="1" applyProtection="1">
      <alignment horizontal="left" vertical="center"/>
      <protection locked="0"/>
    </xf>
    <xf numFmtId="0" fontId="34" fillId="10" borderId="1" xfId="0" applyFont="1" applyFill="1" applyBorder="1" applyAlignment="1" applyProtection="1">
      <alignment vertical="center" wrapText="1"/>
      <protection locked="0"/>
    </xf>
    <xf numFmtId="0" fontId="0" fillId="0" borderId="0" xfId="0" applyAlignment="1">
      <alignment wrapText="1"/>
    </xf>
    <xf numFmtId="0" fontId="12" fillId="3" borderId="13" xfId="0" applyFont="1" applyFill="1" applyBorder="1" applyAlignment="1">
      <alignment horizontal="right" vertical="center" wrapText="1"/>
    </xf>
    <xf numFmtId="0" fontId="12" fillId="3" borderId="13" xfId="0" applyFont="1" applyFill="1" applyBorder="1" applyAlignment="1" applyProtection="1">
      <alignment vertical="center" wrapText="1"/>
      <protection locked="0"/>
    </xf>
    <xf numFmtId="0" fontId="12" fillId="3" borderId="61" xfId="0" applyFont="1" applyFill="1" applyBorder="1" applyAlignment="1" applyProtection="1">
      <alignment horizontal="center" vertical="center" wrapText="1"/>
      <protection locked="0"/>
    </xf>
    <xf numFmtId="1" fontId="12" fillId="3" borderId="13" xfId="0" applyNumberFormat="1" applyFont="1" applyFill="1" applyBorder="1" applyAlignment="1">
      <alignment horizontal="center" vertical="center" wrapText="1"/>
    </xf>
    <xf numFmtId="0" fontId="16" fillId="3" borderId="0" xfId="0" quotePrefix="1" applyFont="1" applyFill="1" applyAlignment="1" applyProtection="1">
      <alignment horizontal="right" vertical="center" wrapText="1"/>
      <protection locked="0"/>
    </xf>
    <xf numFmtId="0" fontId="2" fillId="3" borderId="0" xfId="0" applyFont="1" applyFill="1" applyAlignment="1" applyProtection="1">
      <alignment horizontal="center" wrapText="1"/>
      <protection locked="0"/>
    </xf>
    <xf numFmtId="14" fontId="12" fillId="3" borderId="29" xfId="0" applyNumberFormat="1" applyFont="1" applyFill="1" applyBorder="1" applyAlignment="1" applyProtection="1">
      <alignment horizontal="right" vertical="center" wrapText="1"/>
      <protection locked="0"/>
    </xf>
    <xf numFmtId="0" fontId="12" fillId="3" borderId="35" xfId="0" applyFont="1" applyFill="1" applyBorder="1" applyAlignment="1">
      <alignment horizontal="left" vertical="center" wrapText="1"/>
    </xf>
    <xf numFmtId="0" fontId="40" fillId="3" borderId="60" xfId="0" applyFont="1" applyFill="1" applyBorder="1" applyAlignment="1">
      <alignment horizontal="center" vertical="center" wrapText="1"/>
    </xf>
    <xf numFmtId="0" fontId="12" fillId="3" borderId="29" xfId="0" applyFont="1" applyFill="1" applyBorder="1" applyAlignment="1">
      <alignment horizontal="right" vertical="center" wrapText="1"/>
    </xf>
    <xf numFmtId="168" fontId="12" fillId="3" borderId="29" xfId="12" applyNumberFormat="1" applyFont="1" applyFill="1" applyBorder="1" applyAlignment="1" applyProtection="1">
      <alignment vertical="center" wrapText="1"/>
      <protection locked="0"/>
    </xf>
    <xf numFmtId="0" fontId="41" fillId="3" borderId="0" xfId="0" applyFont="1" applyFill="1" applyAlignment="1">
      <alignment horizontal="left" vertical="top" wrapText="1"/>
    </xf>
    <xf numFmtId="0" fontId="16" fillId="3" borderId="0" xfId="0" applyFont="1" applyFill="1" applyAlignment="1">
      <alignment horizontal="right" vertical="center" wrapText="1"/>
    </xf>
    <xf numFmtId="0" fontId="16" fillId="3" borderId="0" xfId="0" applyFont="1" applyFill="1" applyAlignment="1" applyProtection="1">
      <alignment horizontal="right" vertical="center" wrapText="1"/>
      <protection locked="0"/>
    </xf>
    <xf numFmtId="0" fontId="16" fillId="3" borderId="0" xfId="0" applyFont="1" applyFill="1" applyAlignment="1" applyProtection="1">
      <alignment horizontal="left" vertical="center" wrapText="1"/>
      <protection locked="0"/>
    </xf>
    <xf numFmtId="0" fontId="2" fillId="3" borderId="0" xfId="0" applyFont="1" applyFill="1" applyAlignment="1" applyProtection="1">
      <alignment horizontal="right" vertical="center" wrapText="1"/>
      <protection locked="0"/>
    </xf>
    <xf numFmtId="168" fontId="2" fillId="3" borderId="0" xfId="12" applyNumberFormat="1" applyFont="1" applyFill="1" applyAlignment="1" applyProtection="1">
      <alignment horizontal="right" vertical="center" wrapText="1"/>
      <protection locked="0"/>
    </xf>
    <xf numFmtId="0" fontId="12" fillId="11" borderId="13" xfId="0" applyFont="1" applyFill="1" applyBorder="1" applyAlignment="1">
      <alignment horizontal="left" vertical="center" wrapText="1"/>
    </xf>
    <xf numFmtId="4" fontId="12" fillId="0" borderId="13" xfId="0" applyNumberFormat="1" applyFont="1" applyBorder="1"/>
    <xf numFmtId="0" fontId="42" fillId="3" borderId="13" xfId="0" applyFont="1" applyFill="1" applyBorder="1" applyAlignment="1" applyProtection="1">
      <alignment horizontal="left" vertical="center" wrapText="1"/>
      <protection locked="0"/>
    </xf>
    <xf numFmtId="166" fontId="11" fillId="3" borderId="13" xfId="0" applyNumberFormat="1" applyFont="1" applyFill="1" applyBorder="1" applyAlignment="1">
      <alignment horizontal="center" vertical="center" wrapText="1"/>
    </xf>
    <xf numFmtId="0" fontId="11" fillId="3" borderId="13" xfId="0" applyFont="1" applyFill="1" applyBorder="1" applyAlignment="1">
      <alignment horizontal="center" vertical="center" wrapText="1"/>
    </xf>
    <xf numFmtId="168" fontId="11" fillId="3" borderId="13" xfId="12" applyNumberFormat="1" applyFont="1" applyFill="1" applyBorder="1" applyAlignment="1">
      <alignment horizontal="center" vertical="center" wrapText="1"/>
    </xf>
    <xf numFmtId="0" fontId="2" fillId="0" borderId="13" xfId="0" applyFont="1" applyBorder="1" applyAlignment="1">
      <alignment wrapText="1"/>
    </xf>
    <xf numFmtId="4" fontId="12" fillId="0" borderId="60" xfId="0" applyNumberFormat="1" applyFont="1" applyBorder="1" applyAlignment="1">
      <alignment horizontal="right" vertical="center" wrapText="1"/>
    </xf>
    <xf numFmtId="0" fontId="12" fillId="0" borderId="60" xfId="0" applyFont="1" applyBorder="1" applyAlignment="1">
      <alignment horizontal="left" vertical="top" wrapText="1"/>
    </xf>
    <xf numFmtId="0" fontId="39" fillId="0" borderId="13" xfId="0" applyFont="1" applyBorder="1" applyAlignment="1">
      <alignment horizontal="center" vertical="center" wrapText="1"/>
    </xf>
    <xf numFmtId="0" fontId="39" fillId="0" borderId="13" xfId="0" applyFont="1" applyBorder="1" applyAlignment="1">
      <alignment horizontal="left" vertical="center" wrapText="1"/>
    </xf>
    <xf numFmtId="0" fontId="13" fillId="3" borderId="13" xfId="0" applyFont="1" applyFill="1" applyBorder="1" applyAlignment="1">
      <alignment horizontal="left" vertical="center" wrapText="1"/>
    </xf>
    <xf numFmtId="0" fontId="13" fillId="3" borderId="13" xfId="6" applyFont="1" applyFill="1" applyBorder="1" applyAlignment="1">
      <alignment horizontal="left" vertical="center" wrapText="1"/>
    </xf>
    <xf numFmtId="0" fontId="13" fillId="3" borderId="13" xfId="3" applyFont="1" applyFill="1" applyBorder="1" applyAlignment="1">
      <alignment horizontal="left" vertical="center" wrapText="1"/>
    </xf>
    <xf numFmtId="0" fontId="13" fillId="3" borderId="13" xfId="0" applyFont="1" applyFill="1" applyBorder="1" applyAlignment="1">
      <alignment vertical="center" wrapText="1"/>
    </xf>
    <xf numFmtId="0" fontId="39" fillId="0" borderId="60" xfId="0" applyFont="1" applyBorder="1" applyAlignment="1">
      <alignment horizontal="left" vertical="center" wrapText="1"/>
    </xf>
    <xf numFmtId="4" fontId="39" fillId="0" borderId="60" xfId="0" applyNumberFormat="1" applyFont="1" applyBorder="1" applyAlignment="1">
      <alignment horizontal="right" vertical="center" wrapText="1"/>
    </xf>
    <xf numFmtId="0" fontId="39" fillId="0" borderId="60" xfId="0" applyFont="1" applyBorder="1" applyAlignment="1">
      <alignment horizontal="left" vertical="top" wrapText="1"/>
    </xf>
    <xf numFmtId="0" fontId="39" fillId="0" borderId="60" xfId="0" applyFont="1" applyBorder="1" applyAlignment="1">
      <alignment horizontal="center" vertical="center" wrapText="1"/>
    </xf>
    <xf numFmtId="14" fontId="39" fillId="0" borderId="60" xfId="0" applyNumberFormat="1" applyFont="1" applyBorder="1" applyAlignment="1">
      <alignment horizontal="center" vertical="center" wrapText="1"/>
    </xf>
    <xf numFmtId="0" fontId="12" fillId="0" borderId="0" xfId="0" applyFont="1" applyAlignment="1">
      <alignment horizontal="left" vertical="top" wrapText="1"/>
    </xf>
    <xf numFmtId="0" fontId="12" fillId="3" borderId="0" xfId="6" applyFont="1" applyFill="1" applyAlignment="1">
      <alignment horizontal="left" vertical="center" wrapText="1"/>
    </xf>
    <xf numFmtId="4" fontId="43" fillId="0" borderId="13" xfId="0" applyNumberFormat="1" applyFont="1" applyBorder="1" applyAlignment="1">
      <alignment horizontal="right" vertical="center" wrapText="1"/>
    </xf>
    <xf numFmtId="3" fontId="39" fillId="0" borderId="60" xfId="0" applyNumberFormat="1" applyFont="1" applyBorder="1" applyAlignment="1">
      <alignment horizontal="center" vertical="center" wrapText="1"/>
    </xf>
    <xf numFmtId="0" fontId="12" fillId="3" borderId="0" xfId="0" applyFont="1" applyFill="1" applyAlignment="1" applyProtection="1">
      <alignment wrapText="1"/>
      <protection locked="0"/>
    </xf>
    <xf numFmtId="0" fontId="39" fillId="3" borderId="60" xfId="0" applyFont="1" applyFill="1" applyBorder="1" applyAlignment="1">
      <alignment horizontal="center" vertical="center" wrapText="1"/>
    </xf>
    <xf numFmtId="14" fontId="12" fillId="3" borderId="29" xfId="0" applyNumberFormat="1" applyFont="1" applyFill="1" applyBorder="1" applyAlignment="1" applyProtection="1">
      <alignment horizontal="left" vertical="center" wrapText="1"/>
      <protection locked="0"/>
    </xf>
    <xf numFmtId="165" fontId="12" fillId="3" borderId="29" xfId="12" applyFont="1" applyFill="1" applyBorder="1" applyAlignment="1" applyProtection="1">
      <alignment vertical="center" wrapText="1"/>
      <protection locked="0"/>
    </xf>
    <xf numFmtId="165" fontId="43" fillId="3" borderId="29" xfId="12" applyFont="1" applyFill="1" applyBorder="1" applyAlignment="1" applyProtection="1">
      <alignment vertical="center" wrapText="1"/>
      <protection locked="0"/>
    </xf>
    <xf numFmtId="4" fontId="43" fillId="0" borderId="60" xfId="0" applyNumberFormat="1" applyFont="1" applyBorder="1" applyAlignment="1">
      <alignment horizontal="right" vertical="center" wrapText="1"/>
    </xf>
    <xf numFmtId="168" fontId="43" fillId="3" borderId="29" xfId="12" applyNumberFormat="1" applyFont="1" applyFill="1" applyBorder="1" applyAlignment="1" applyProtection="1">
      <alignment vertical="center" wrapText="1"/>
      <protection locked="0"/>
    </xf>
    <xf numFmtId="165" fontId="11" fillId="3" borderId="13" xfId="12" applyFont="1" applyFill="1" applyBorder="1" applyAlignment="1">
      <alignment vertical="center" wrapText="1"/>
    </xf>
    <xf numFmtId="165" fontId="2" fillId="3" borderId="0" xfId="12" applyFont="1" applyFill="1" applyAlignment="1" applyProtection="1">
      <alignment vertical="center" wrapText="1"/>
      <protection locked="0"/>
    </xf>
    <xf numFmtId="0" fontId="12" fillId="4" borderId="0" xfId="0" applyFont="1" applyFill="1" applyAlignment="1" applyProtection="1">
      <alignment wrapText="1"/>
      <protection locked="0"/>
    </xf>
    <xf numFmtId="14" fontId="12" fillId="4" borderId="13" xfId="0" applyNumberFormat="1" applyFont="1" applyFill="1" applyBorder="1" applyAlignment="1" applyProtection="1">
      <alignment horizontal="right" vertical="center" wrapText="1"/>
      <protection locked="0"/>
    </xf>
    <xf numFmtId="17" fontId="12" fillId="4" borderId="13" xfId="0" applyNumberFormat="1" applyFont="1" applyFill="1" applyBorder="1" applyAlignment="1" applyProtection="1">
      <alignment horizontal="right" vertical="center" wrapText="1"/>
      <protection locked="0"/>
    </xf>
    <xf numFmtId="14" fontId="12" fillId="4" borderId="29" xfId="0" applyNumberFormat="1" applyFont="1" applyFill="1" applyBorder="1" applyAlignment="1" applyProtection="1">
      <alignment horizontal="right" vertical="center" wrapText="1"/>
      <protection locked="0"/>
    </xf>
    <xf numFmtId="0" fontId="39" fillId="4" borderId="60" xfId="0" applyFont="1" applyFill="1" applyBorder="1" applyAlignment="1">
      <alignment horizontal="left" vertical="center" wrapText="1"/>
    </xf>
    <xf numFmtId="0" fontId="39" fillId="4" borderId="60" xfId="0" applyFont="1" applyFill="1" applyBorder="1" applyAlignment="1">
      <alignment horizontal="left" vertical="top" wrapText="1"/>
    </xf>
    <xf numFmtId="168" fontId="12" fillId="4" borderId="29" xfId="12" applyNumberFormat="1" applyFont="1" applyFill="1" applyBorder="1" applyAlignment="1" applyProtection="1">
      <alignment vertical="center" wrapText="1"/>
      <protection locked="0"/>
    </xf>
    <xf numFmtId="0" fontId="39" fillId="4" borderId="60" xfId="0" applyFont="1" applyFill="1" applyBorder="1" applyAlignment="1">
      <alignment horizontal="center" vertical="center" wrapText="1"/>
    </xf>
    <xf numFmtId="0" fontId="12" fillId="4" borderId="29" xfId="0" applyFont="1" applyFill="1" applyBorder="1" applyAlignment="1" applyProtection="1">
      <alignment horizontal="left" vertical="center" wrapText="1"/>
      <protection locked="0"/>
    </xf>
    <xf numFmtId="0" fontId="12" fillId="4" borderId="35" xfId="0" applyFont="1" applyFill="1" applyBorder="1" applyAlignment="1">
      <alignment horizontal="left" vertical="center" wrapText="1"/>
    </xf>
    <xf numFmtId="165" fontId="43" fillId="4" borderId="29" xfId="12" applyFont="1" applyFill="1" applyBorder="1" applyAlignment="1" applyProtection="1">
      <alignment vertical="center" wrapText="1"/>
      <protection locked="0"/>
    </xf>
    <xf numFmtId="0" fontId="13" fillId="4" borderId="0" xfId="3" applyFont="1" applyFill="1" applyAlignment="1">
      <alignment horizontal="left" vertical="center" wrapText="1"/>
    </xf>
    <xf numFmtId="0" fontId="13" fillId="4" borderId="0" xfId="6" applyFont="1" applyFill="1" applyAlignment="1">
      <alignment horizontal="left" vertical="center" wrapText="1"/>
    </xf>
    <xf numFmtId="165" fontId="44" fillId="4" borderId="0" xfId="12" applyFont="1" applyFill="1" applyAlignment="1" applyProtection="1">
      <alignment wrapText="1"/>
      <protection locked="0"/>
    </xf>
    <xf numFmtId="4" fontId="43" fillId="4" borderId="60" xfId="0" applyNumberFormat="1" applyFont="1" applyFill="1" applyBorder="1" applyAlignment="1">
      <alignment horizontal="right" vertical="center" wrapText="1"/>
    </xf>
    <xf numFmtId="165" fontId="44" fillId="4" borderId="0" xfId="12" applyFont="1" applyFill="1" applyAlignment="1" applyProtection="1">
      <alignment vertical="center" wrapText="1"/>
      <protection locked="0"/>
    </xf>
    <xf numFmtId="0" fontId="38" fillId="4" borderId="18" xfId="0" applyFont="1" applyFill="1" applyBorder="1" applyAlignment="1">
      <alignment horizontal="right" vertical="center" wrapText="1"/>
    </xf>
    <xf numFmtId="0" fontId="12" fillId="4" borderId="13" xfId="0" applyFont="1" applyFill="1" applyBorder="1" applyAlignment="1" applyProtection="1">
      <alignment horizontal="left" vertical="center" wrapText="1"/>
      <protection locked="0"/>
    </xf>
    <xf numFmtId="4" fontId="43" fillId="4" borderId="13" xfId="0" applyNumberFormat="1" applyFont="1" applyFill="1" applyBorder="1" applyAlignment="1">
      <alignment horizontal="right" vertical="center" wrapText="1"/>
    </xf>
    <xf numFmtId="0" fontId="12" fillId="4" borderId="13" xfId="0" applyFont="1" applyFill="1" applyBorder="1" applyAlignment="1">
      <alignment horizontal="left" vertical="center" wrapText="1"/>
    </xf>
    <xf numFmtId="0" fontId="12" fillId="4" borderId="13" xfId="0" applyFont="1" applyFill="1" applyBorder="1" applyAlignment="1" applyProtection="1">
      <alignment horizontal="center" vertical="center" wrapText="1"/>
      <protection locked="0"/>
    </xf>
    <xf numFmtId="165" fontId="43" fillId="4" borderId="13" xfId="12" applyFont="1" applyFill="1" applyBorder="1" applyAlignment="1" applyProtection="1">
      <alignment horizontal="left" vertical="center" wrapText="1"/>
      <protection locked="0"/>
    </xf>
    <xf numFmtId="0" fontId="44" fillId="4" borderId="0" xfId="0" applyFont="1" applyFill="1" applyAlignment="1" applyProtection="1">
      <alignment wrapText="1"/>
      <protection locked="0"/>
    </xf>
    <xf numFmtId="0" fontId="43" fillId="4" borderId="60" xfId="0" applyFont="1" applyFill="1" applyBorder="1" applyAlignment="1">
      <alignment horizontal="right" vertical="center" wrapText="1"/>
    </xf>
    <xf numFmtId="4" fontId="45" fillId="0" borderId="60" xfId="0" applyNumberFormat="1" applyFont="1" applyBorder="1" applyAlignment="1">
      <alignment horizontal="right" vertical="center" wrapText="1"/>
    </xf>
    <xf numFmtId="0" fontId="35" fillId="9" borderId="7" xfId="0" applyFont="1" applyFill="1" applyBorder="1" applyAlignment="1" applyProtection="1">
      <alignment horizontal="center" vertical="center"/>
      <protection locked="0"/>
    </xf>
    <xf numFmtId="0" fontId="35" fillId="9" borderId="40" xfId="0" applyFont="1" applyFill="1" applyBorder="1" applyAlignment="1" applyProtection="1">
      <alignment horizontal="center" vertical="center"/>
      <protection locked="0"/>
    </xf>
    <xf numFmtId="0" fontId="35" fillId="9" borderId="8" xfId="0" applyFont="1" applyFill="1" applyBorder="1" applyAlignment="1" applyProtection="1">
      <alignment horizontal="center" vertical="center"/>
      <protection locked="0"/>
    </xf>
    <xf numFmtId="0" fontId="35" fillId="9" borderId="42" xfId="0" applyFont="1" applyFill="1" applyBorder="1" applyAlignment="1" applyProtection="1">
      <alignment horizontal="center" vertical="center"/>
      <protection locked="0"/>
    </xf>
    <xf numFmtId="0" fontId="35" fillId="9" borderId="41" xfId="0" applyFont="1" applyFill="1" applyBorder="1" applyAlignment="1" applyProtection="1">
      <alignment horizontal="center" vertical="center" wrapText="1"/>
      <protection locked="0"/>
    </xf>
    <xf numFmtId="0" fontId="35" fillId="9" borderId="43" xfId="0" applyFont="1" applyFill="1" applyBorder="1" applyAlignment="1" applyProtection="1">
      <alignment horizontal="center" vertical="center" wrapText="1"/>
      <protection locked="0"/>
    </xf>
    <xf numFmtId="0" fontId="30" fillId="9" borderId="12" xfId="0" applyFont="1" applyFill="1" applyBorder="1" applyAlignment="1" applyProtection="1">
      <alignment horizontal="center" vertical="center"/>
      <protection locked="0"/>
    </xf>
    <xf numFmtId="0" fontId="10" fillId="2" borderId="12" xfId="0" applyFont="1" applyFill="1" applyBorder="1" applyAlignment="1">
      <alignment horizontal="left" vertical="center" wrapText="1"/>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6" xfId="0" applyFont="1" applyFill="1" applyBorder="1" applyAlignment="1">
      <alignment horizontal="center" vertical="center" wrapText="1"/>
    </xf>
    <xf numFmtId="0" fontId="4" fillId="3" borderId="0" xfId="0" applyFont="1" applyFill="1" applyAlignment="1">
      <alignment horizontal="center" vertical="center" wrapText="1"/>
    </xf>
    <xf numFmtId="0" fontId="14" fillId="5" borderId="3" xfId="0" applyFont="1" applyFill="1" applyBorder="1" applyAlignment="1">
      <alignment horizontal="left" vertical="center" wrapText="1"/>
    </xf>
    <xf numFmtId="0" fontId="14" fillId="2" borderId="1" xfId="4" applyFont="1" applyFill="1" applyBorder="1" applyAlignment="1">
      <alignment horizontal="center" vertical="center" wrapText="1"/>
    </xf>
    <xf numFmtId="0" fontId="5" fillId="3" borderId="5" xfId="0" applyFont="1" applyFill="1" applyBorder="1" applyAlignment="1">
      <alignment horizontal="center" vertical="center" wrapText="1"/>
    </xf>
    <xf numFmtId="0" fontId="14" fillId="3" borderId="1" xfId="4" applyFont="1" applyFill="1" applyBorder="1" applyAlignment="1">
      <alignment horizontal="right" vertical="center" wrapText="1"/>
    </xf>
    <xf numFmtId="0" fontId="5" fillId="3" borderId="5" xfId="0" applyFont="1" applyFill="1" applyBorder="1" applyAlignment="1">
      <alignment horizontal="center"/>
    </xf>
    <xf numFmtId="0" fontId="5" fillId="3" borderId="0" xfId="0" applyFont="1" applyFill="1" applyAlignment="1">
      <alignment horizontal="center" vertical="center" wrapText="1"/>
    </xf>
    <xf numFmtId="0" fontId="5" fillId="2" borderId="5" xfId="0" applyFont="1" applyFill="1" applyBorder="1" applyAlignment="1">
      <alignment horizontal="center" vertical="center"/>
    </xf>
    <xf numFmtId="0" fontId="11" fillId="2" borderId="0" xfId="0" applyFont="1" applyFill="1" applyAlignment="1">
      <alignment horizontal="left" vertical="center"/>
    </xf>
    <xf numFmtId="0" fontId="11" fillId="5" borderId="3" xfId="0" applyFont="1" applyFill="1" applyBorder="1" applyAlignment="1">
      <alignment horizontal="left" vertical="center"/>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165" fontId="4" fillId="3" borderId="0" xfId="12" applyFont="1" applyFill="1" applyAlignment="1">
      <alignment vertical="center" wrapText="1"/>
    </xf>
    <xf numFmtId="165" fontId="5" fillId="3" borderId="0" xfId="12" applyFont="1" applyFill="1" applyAlignment="1">
      <alignment vertical="center" wrapText="1"/>
    </xf>
    <xf numFmtId="0" fontId="5" fillId="2" borderId="0" xfId="0" applyFont="1" applyFill="1" applyAlignment="1">
      <alignment horizontal="center" vertical="center" wrapText="1"/>
    </xf>
    <xf numFmtId="0" fontId="30" fillId="3" borderId="0" xfId="14" applyFont="1" applyFill="1" applyAlignment="1" applyProtection="1">
      <alignment horizontal="center" vertical="center"/>
      <protection locked="0"/>
    </xf>
    <xf numFmtId="0" fontId="9" fillId="4" borderId="0" xfId="0" applyFont="1" applyFill="1" applyAlignment="1">
      <alignment horizontal="center" vertical="center"/>
    </xf>
    <xf numFmtId="14" fontId="12" fillId="4" borderId="29" xfId="0" applyNumberFormat="1" applyFont="1" applyFill="1" applyBorder="1" applyAlignment="1" applyProtection="1">
      <alignment horizontal="left" vertical="center" wrapText="1"/>
      <protection locked="0"/>
    </xf>
    <xf numFmtId="0" fontId="46" fillId="0" borderId="0" xfId="0" applyFont="1" applyAlignment="1">
      <alignment vertical="center"/>
    </xf>
    <xf numFmtId="0" fontId="47" fillId="0" borderId="0" xfId="0" applyFont="1" applyAlignment="1">
      <alignment vertical="center" wrapText="1"/>
    </xf>
    <xf numFmtId="4" fontId="39" fillId="0" borderId="62" xfId="0" applyNumberFormat="1" applyFont="1" applyBorder="1" applyAlignment="1">
      <alignment horizontal="right" vertical="center" wrapText="1"/>
    </xf>
    <xf numFmtId="0" fontId="39" fillId="0" borderId="63" xfId="0" applyFont="1" applyBorder="1" applyAlignment="1">
      <alignment horizontal="left" vertical="top" wrapText="1"/>
    </xf>
    <xf numFmtId="0" fontId="39" fillId="0" borderId="64" xfId="0" applyFont="1" applyBorder="1" applyAlignment="1">
      <alignment horizontal="left" vertical="top" wrapText="1"/>
    </xf>
    <xf numFmtId="0" fontId="47" fillId="0" borderId="13" xfId="0" applyFont="1" applyBorder="1" applyAlignment="1">
      <alignment vertical="center" wrapText="1"/>
    </xf>
    <xf numFmtId="0" fontId="13" fillId="4" borderId="0" xfId="0" applyFont="1" applyFill="1" applyAlignment="1">
      <alignment vertical="center" wrapText="1"/>
    </xf>
    <xf numFmtId="14" fontId="39" fillId="4" borderId="60" xfId="0" applyNumberFormat="1" applyFont="1" applyFill="1" applyBorder="1" applyAlignment="1">
      <alignment horizontal="center" vertical="center" wrapText="1"/>
    </xf>
  </cellXfs>
  <cellStyles count="16">
    <cellStyle name="Moeda 2" xfId="1" xr:uid="{00000000-0005-0000-0000-000000000000}"/>
    <cellStyle name="Moeda 2 2" xfId="13" xr:uid="{00000000-0005-0000-0000-000001000000}"/>
    <cellStyle name="Moeda 3" xfId="2" xr:uid="{00000000-0005-0000-0000-000002000000}"/>
    <cellStyle name="Normal" xfId="0" builtinId="0"/>
    <cellStyle name="Normal 10" xfId="3" xr:uid="{00000000-0005-0000-0000-000004000000}"/>
    <cellStyle name="Normal 2" xfId="4" xr:uid="{00000000-0005-0000-0000-000005000000}"/>
    <cellStyle name="Normal 3" xfId="5" xr:uid="{00000000-0005-0000-0000-000006000000}"/>
    <cellStyle name="Normal 3 3" xfId="6" xr:uid="{00000000-0005-0000-0000-000007000000}"/>
    <cellStyle name="Normal 4" xfId="7" xr:uid="{00000000-0005-0000-0000-000008000000}"/>
    <cellStyle name="Normal 5" xfId="8" xr:uid="{00000000-0005-0000-0000-000009000000}"/>
    <cellStyle name="Normal 6" xfId="14" xr:uid="{00000000-0005-0000-0000-00000A000000}"/>
    <cellStyle name="Porcentagem" xfId="9" builtinId="5"/>
    <cellStyle name="Porcentagem 2" xfId="10" xr:uid="{00000000-0005-0000-0000-00000C000000}"/>
    <cellStyle name="Separador de milhares 2" xfId="11" xr:uid="{00000000-0005-0000-0000-00000D000000}"/>
    <cellStyle name="Vírgula" xfId="12" builtinId="3"/>
    <cellStyle name="Vírgula 2" xfId="15" xr:uid="{00000000-0005-0000-0000-00000F00000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tabColor theme="8" tint="0.39997558519241921"/>
    <pageSetUpPr fitToPage="1"/>
  </sheetPr>
  <dimension ref="A1:C74"/>
  <sheetViews>
    <sheetView workbookViewId="0">
      <selection activeCell="A75" sqref="A75"/>
    </sheetView>
  </sheetViews>
  <sheetFormatPr defaultColWidth="9.140625" defaultRowHeight="12.75"/>
  <cols>
    <col min="1" max="1" width="159.85546875" style="113" customWidth="1"/>
    <col min="2" max="16384" width="9.140625" style="113"/>
  </cols>
  <sheetData>
    <row r="1" spans="1:1" ht="30.75" customHeight="1">
      <c r="A1" s="408" t="s">
        <v>398</v>
      </c>
    </row>
    <row r="2" spans="1:1" ht="28.5" customHeight="1">
      <c r="A2" s="408" t="s">
        <v>570</v>
      </c>
    </row>
    <row r="3" spans="1:1" ht="46.5" customHeight="1">
      <c r="A3" s="408" t="s">
        <v>571</v>
      </c>
    </row>
    <row r="4" spans="1:1" ht="25.5" customHeight="1">
      <c r="A4" s="114"/>
    </row>
    <row r="5" spans="1:1" ht="41.25" customHeight="1">
      <c r="A5" s="115" t="s">
        <v>328</v>
      </c>
    </row>
    <row r="6" spans="1:1" ht="18">
      <c r="A6" s="359" t="s">
        <v>22</v>
      </c>
    </row>
    <row r="7" spans="1:1" ht="18">
      <c r="A7" s="409">
        <v>46113</v>
      </c>
    </row>
    <row r="8" spans="1:1" ht="18">
      <c r="A8" s="359" t="s">
        <v>291</v>
      </c>
    </row>
    <row r="9" spans="1:1" ht="18">
      <c r="A9" s="409">
        <v>46203</v>
      </c>
    </row>
    <row r="10" spans="1:1" ht="69.75" customHeight="1">
      <c r="A10" s="116"/>
    </row>
    <row r="11" spans="1:1" s="118" customFormat="1" ht="24.75" customHeight="1">
      <c r="A11" s="117"/>
    </row>
    <row r="12" spans="1:1" ht="30" customHeight="1">
      <c r="A12" s="119" t="s">
        <v>399</v>
      </c>
    </row>
    <row r="15" spans="1:1" hidden="1">
      <c r="A15" s="113" t="s">
        <v>383</v>
      </c>
    </row>
    <row r="16" spans="1:1" hidden="1">
      <c r="A16" s="113" t="s">
        <v>398</v>
      </c>
    </row>
    <row r="17" spans="1:3" hidden="1">
      <c r="A17" s="180" t="str">
        <f>IF($A$1=$A$15,C17,B17)</f>
        <v>1º Relatório Gerencial Financeiro</v>
      </c>
      <c r="B17" s="180" t="s">
        <v>304</v>
      </c>
      <c r="C17" s="180" t="s">
        <v>400</v>
      </c>
    </row>
    <row r="18" spans="1:3" hidden="1">
      <c r="A18" s="180" t="str">
        <f t="shared" ref="A18:A56" si="0">IF($A$1=$A$15,C18,B18)</f>
        <v>2º Relatório Gerencial Financeiro</v>
      </c>
      <c r="B18" s="180" t="s">
        <v>305</v>
      </c>
      <c r="C18" s="180" t="s">
        <v>401</v>
      </c>
    </row>
    <row r="19" spans="1:3" hidden="1">
      <c r="A19" s="180" t="str">
        <f t="shared" si="0"/>
        <v>3º Relatório Gerencial Financeiro</v>
      </c>
      <c r="B19" s="180" t="s">
        <v>306</v>
      </c>
      <c r="C19" s="180" t="s">
        <v>402</v>
      </c>
    </row>
    <row r="20" spans="1:3" hidden="1">
      <c r="A20" s="180" t="str">
        <f t="shared" si="0"/>
        <v>4º Relatório Gerencial Financeiro</v>
      </c>
      <c r="B20" s="180" t="s">
        <v>307</v>
      </c>
      <c r="C20" s="180" t="s">
        <v>403</v>
      </c>
    </row>
    <row r="21" spans="1:3" hidden="1">
      <c r="A21" s="180" t="str">
        <f t="shared" si="0"/>
        <v>5º Relatório Gerencial Financeiro</v>
      </c>
      <c r="B21" s="180" t="s">
        <v>309</v>
      </c>
      <c r="C21" s="180" t="s">
        <v>404</v>
      </c>
    </row>
    <row r="22" spans="1:3" hidden="1">
      <c r="A22" s="180" t="str">
        <f t="shared" si="0"/>
        <v>6º Relatório Gerencial Financeiro</v>
      </c>
      <c r="B22" s="180" t="s">
        <v>310</v>
      </c>
      <c r="C22" s="180" t="s">
        <v>405</v>
      </c>
    </row>
    <row r="23" spans="1:3" hidden="1">
      <c r="A23" s="180" t="str">
        <f t="shared" si="0"/>
        <v>7º Relatório Gerencial Financeiro</v>
      </c>
      <c r="B23" s="180" t="s">
        <v>311</v>
      </c>
      <c r="C23" s="180" t="s">
        <v>406</v>
      </c>
    </row>
    <row r="24" spans="1:3" hidden="1">
      <c r="A24" s="180" t="str">
        <f t="shared" si="0"/>
        <v>8º Relatório Gerencial Financeiro</v>
      </c>
      <c r="B24" s="180" t="s">
        <v>312</v>
      </c>
      <c r="C24" s="180" t="s">
        <v>407</v>
      </c>
    </row>
    <row r="25" spans="1:3" hidden="1">
      <c r="A25" s="180" t="str">
        <f t="shared" si="0"/>
        <v>9º Relatório Gerencial Financeiro</v>
      </c>
      <c r="B25" s="180" t="s">
        <v>313</v>
      </c>
      <c r="C25" s="180" t="s">
        <v>408</v>
      </c>
    </row>
    <row r="26" spans="1:3" hidden="1">
      <c r="A26" s="180" t="str">
        <f t="shared" si="0"/>
        <v>10º Relatório Gerencial Financeiro</v>
      </c>
      <c r="B26" s="180" t="s">
        <v>314</v>
      </c>
      <c r="C26" s="180" t="s">
        <v>409</v>
      </c>
    </row>
    <row r="27" spans="1:3" hidden="1">
      <c r="A27" s="180" t="str">
        <f t="shared" si="0"/>
        <v>11º Relatório Gerencial Financeiro</v>
      </c>
      <c r="B27" s="180" t="s">
        <v>315</v>
      </c>
      <c r="C27" s="180" t="s">
        <v>410</v>
      </c>
    </row>
    <row r="28" spans="1:3" hidden="1">
      <c r="A28" s="180" t="str">
        <f t="shared" si="0"/>
        <v>12º Relatório Gerencial Financeiro</v>
      </c>
      <c r="B28" s="180" t="s">
        <v>316</v>
      </c>
      <c r="C28" s="180" t="s">
        <v>411</v>
      </c>
    </row>
    <row r="29" spans="1:3" hidden="1">
      <c r="A29" s="180" t="str">
        <f t="shared" si="0"/>
        <v>13º Relatório Gerencial Financeiro</v>
      </c>
      <c r="B29" s="180" t="s">
        <v>317</v>
      </c>
      <c r="C29" s="180" t="s">
        <v>412</v>
      </c>
    </row>
    <row r="30" spans="1:3" hidden="1">
      <c r="A30" s="180" t="str">
        <f t="shared" si="0"/>
        <v>14º Relatório Gerencial Financeiro</v>
      </c>
      <c r="B30" s="180" t="s">
        <v>318</v>
      </c>
      <c r="C30" s="180" t="s">
        <v>413</v>
      </c>
    </row>
    <row r="31" spans="1:3" hidden="1">
      <c r="A31" s="180" t="str">
        <f t="shared" si="0"/>
        <v>15º Relatório Gerencial Financeiro</v>
      </c>
      <c r="B31" s="180" t="s">
        <v>319</v>
      </c>
      <c r="C31" s="180" t="s">
        <v>414</v>
      </c>
    </row>
    <row r="32" spans="1:3" hidden="1">
      <c r="A32" s="180" t="str">
        <f t="shared" si="0"/>
        <v>16º Relatório Gerencial Financeiro</v>
      </c>
      <c r="B32" s="180" t="s">
        <v>320</v>
      </c>
      <c r="C32" s="180" t="s">
        <v>415</v>
      </c>
    </row>
    <row r="33" spans="1:3" hidden="1">
      <c r="A33" s="180" t="str">
        <f t="shared" si="0"/>
        <v>17º Relatório Gerencial Financeiro</v>
      </c>
      <c r="B33" s="180" t="s">
        <v>321</v>
      </c>
      <c r="C33" s="180" t="s">
        <v>416</v>
      </c>
    </row>
    <row r="34" spans="1:3" hidden="1">
      <c r="A34" s="180" t="str">
        <f t="shared" si="0"/>
        <v>18º Relatório Gerencial Financeiro</v>
      </c>
      <c r="B34" s="180" t="s">
        <v>322</v>
      </c>
      <c r="C34" s="180" t="s">
        <v>417</v>
      </c>
    </row>
    <row r="35" spans="1:3" hidden="1">
      <c r="A35" s="180" t="str">
        <f t="shared" si="0"/>
        <v>19º Relatório Gerencial Financeiro</v>
      </c>
      <c r="B35" s="180" t="s">
        <v>323</v>
      </c>
      <c r="C35" s="180" t="s">
        <v>418</v>
      </c>
    </row>
    <row r="36" spans="1:3" hidden="1">
      <c r="A36" s="180" t="str">
        <f t="shared" si="0"/>
        <v>20º Relatório Gerencial Financeiro</v>
      </c>
      <c r="B36" s="180" t="s">
        <v>324</v>
      </c>
      <c r="C36" s="180" t="s">
        <v>419</v>
      </c>
    </row>
    <row r="37" spans="1:3" hidden="1">
      <c r="A37" s="180" t="str">
        <f t="shared" si="0"/>
        <v>21º Relatório Gerencial Financeiro</v>
      </c>
      <c r="B37" s="180" t="s">
        <v>325</v>
      </c>
      <c r="C37" s="180" t="s">
        <v>420</v>
      </c>
    </row>
    <row r="38" spans="1:3" hidden="1">
      <c r="A38" s="180" t="str">
        <f t="shared" si="0"/>
        <v>22º Relatório Gerencial Financeiro</v>
      </c>
      <c r="B38" s="180" t="s">
        <v>326</v>
      </c>
      <c r="C38" s="180" t="s">
        <v>421</v>
      </c>
    </row>
    <row r="39" spans="1:3" hidden="1">
      <c r="A39" s="180" t="str">
        <f t="shared" si="0"/>
        <v>23º Relatório Gerencial Financeiro</v>
      </c>
      <c r="B39" s="180" t="s">
        <v>327</v>
      </c>
      <c r="C39" s="180" t="s">
        <v>422</v>
      </c>
    </row>
    <row r="40" spans="1:3" hidden="1">
      <c r="A40" s="180" t="str">
        <f t="shared" si="0"/>
        <v>24º Relatório Gerencial Financeiro</v>
      </c>
      <c r="B40" s="180" t="s">
        <v>328</v>
      </c>
      <c r="C40" s="180" t="s">
        <v>423</v>
      </c>
    </row>
    <row r="41" spans="1:3" hidden="1">
      <c r="A41" s="180" t="str">
        <f t="shared" si="0"/>
        <v>25º Relatório Gerencial Financeiro</v>
      </c>
      <c r="B41" s="180" t="s">
        <v>387</v>
      </c>
      <c r="C41" s="180" t="s">
        <v>424</v>
      </c>
    </row>
    <row r="42" spans="1:3" hidden="1">
      <c r="A42" s="180" t="str">
        <f t="shared" si="0"/>
        <v>26º Relatório Gerencial Financeiro</v>
      </c>
      <c r="B42" s="180" t="s">
        <v>388</v>
      </c>
      <c r="C42" s="180" t="s">
        <v>425</v>
      </c>
    </row>
    <row r="43" spans="1:3" hidden="1">
      <c r="A43" s="180" t="str">
        <f t="shared" si="0"/>
        <v>27º Relatório Gerencial Financeiro</v>
      </c>
      <c r="B43" s="180" t="s">
        <v>389</v>
      </c>
      <c r="C43" s="180" t="s">
        <v>426</v>
      </c>
    </row>
    <row r="44" spans="1:3" hidden="1">
      <c r="A44" s="180" t="str">
        <f t="shared" si="0"/>
        <v>28º Relatório Gerencial Financeiro</v>
      </c>
      <c r="B44" s="180" t="s">
        <v>390</v>
      </c>
      <c r="C44" s="180" t="s">
        <v>427</v>
      </c>
    </row>
    <row r="45" spans="1:3" hidden="1">
      <c r="A45" s="180" t="str">
        <f t="shared" si="0"/>
        <v>29º Relatório Gerencial Financeiro</v>
      </c>
      <c r="B45" s="180" t="s">
        <v>391</v>
      </c>
      <c r="C45" s="180" t="s">
        <v>428</v>
      </c>
    </row>
    <row r="46" spans="1:3" hidden="1">
      <c r="A46" s="180" t="str">
        <f t="shared" si="0"/>
        <v>30º Relatório Gerencial Financeiro</v>
      </c>
      <c r="B46" s="180" t="s">
        <v>392</v>
      </c>
      <c r="C46" s="180" t="s">
        <v>429</v>
      </c>
    </row>
    <row r="47" spans="1:3" hidden="1">
      <c r="A47" s="180" t="str">
        <f t="shared" si="0"/>
        <v>31º Relatório Gerencial Financeiro</v>
      </c>
      <c r="B47" s="180" t="s">
        <v>393</v>
      </c>
      <c r="C47" s="180" t="s">
        <v>430</v>
      </c>
    </row>
    <row r="48" spans="1:3" hidden="1">
      <c r="A48" s="180" t="str">
        <f t="shared" si="0"/>
        <v>32º Relatório Gerencial Financeiro</v>
      </c>
      <c r="B48" s="180" t="s">
        <v>394</v>
      </c>
      <c r="C48" s="180" t="s">
        <v>431</v>
      </c>
    </row>
    <row r="49" spans="1:3" hidden="1">
      <c r="A49" s="180" t="str">
        <f t="shared" si="0"/>
        <v>33º Relatório Gerencial Financeiro</v>
      </c>
      <c r="B49" s="180" t="s">
        <v>395</v>
      </c>
      <c r="C49" s="180" t="s">
        <v>432</v>
      </c>
    </row>
    <row r="50" spans="1:3" hidden="1">
      <c r="A50" s="180" t="str">
        <f t="shared" si="0"/>
        <v>34º Relatório Gerencial Financeiro</v>
      </c>
      <c r="B50" s="180" t="s">
        <v>396</v>
      </c>
      <c r="C50" s="180" t="s">
        <v>433</v>
      </c>
    </row>
    <row r="51" spans="1:3" hidden="1">
      <c r="A51" s="180" t="str">
        <f t="shared" si="0"/>
        <v>35º Relatório Gerencial Financeiro</v>
      </c>
      <c r="B51" s="180" t="s">
        <v>434</v>
      </c>
      <c r="C51" s="180" t="s">
        <v>435</v>
      </c>
    </row>
    <row r="52" spans="1:3" hidden="1">
      <c r="A52" s="180" t="str">
        <f t="shared" si="0"/>
        <v>36º Relatório Gerencial Financeiro</v>
      </c>
      <c r="B52" s="180" t="s">
        <v>436</v>
      </c>
      <c r="C52" s="180" t="s">
        <v>437</v>
      </c>
    </row>
    <row r="53" spans="1:3" hidden="1">
      <c r="A53" s="180" t="str">
        <f t="shared" si="0"/>
        <v>37º Relatório Gerencial Financeiro</v>
      </c>
      <c r="B53" s="180" t="s">
        <v>438</v>
      </c>
      <c r="C53" s="180" t="s">
        <v>439</v>
      </c>
    </row>
    <row r="54" spans="1:3" hidden="1">
      <c r="A54" s="180" t="str">
        <f t="shared" si="0"/>
        <v>38º Relatório Gerencial Financeiro</v>
      </c>
      <c r="B54" s="180" t="s">
        <v>440</v>
      </c>
      <c r="C54" s="180" t="s">
        <v>441</v>
      </c>
    </row>
    <row r="55" spans="1:3" hidden="1">
      <c r="A55" s="180" t="str">
        <f t="shared" si="0"/>
        <v>39º Relatório Gerencial Financeiro</v>
      </c>
      <c r="B55" s="180" t="s">
        <v>442</v>
      </c>
      <c r="C55" s="180" t="s">
        <v>443</v>
      </c>
    </row>
    <row r="56" spans="1:3" hidden="1">
      <c r="A56" s="180" t="str">
        <f t="shared" si="0"/>
        <v>40º Relatório Gerencial Financeiro</v>
      </c>
      <c r="B56" s="180" t="s">
        <v>444</v>
      </c>
      <c r="C56" s="180" t="s">
        <v>445</v>
      </c>
    </row>
    <row r="57" spans="1:3" hidden="1">
      <c r="A57" s="180" t="str">
        <f t="shared" ref="A57:A67" si="1">IF($A$1=$A$15,C57,B57)</f>
        <v>37º Relatório Gerencial Financeiro</v>
      </c>
      <c r="B57" s="180" t="s">
        <v>438</v>
      </c>
      <c r="C57" s="180" t="s">
        <v>439</v>
      </c>
    </row>
    <row r="58" spans="1:3" hidden="1">
      <c r="A58" s="180" t="str">
        <f t="shared" si="1"/>
        <v>38º Relatório Gerencial Financeiro</v>
      </c>
      <c r="B58" s="180" t="s">
        <v>440</v>
      </c>
      <c r="C58" s="180" t="s">
        <v>441</v>
      </c>
    </row>
    <row r="59" spans="1:3" hidden="1">
      <c r="A59" s="180" t="str">
        <f t="shared" si="1"/>
        <v>39º Relatório Gerencial Financeiro</v>
      </c>
      <c r="B59" s="180" t="s">
        <v>442</v>
      </c>
      <c r="C59" s="180" t="s">
        <v>443</v>
      </c>
    </row>
    <row r="60" spans="1:3" hidden="1">
      <c r="A60" s="180" t="str">
        <f t="shared" si="1"/>
        <v>40º Relatório Gerencial Financeiro</v>
      </c>
      <c r="B60" s="180" t="s">
        <v>444</v>
      </c>
      <c r="C60" s="180" t="s">
        <v>445</v>
      </c>
    </row>
    <row r="61" spans="1:3" hidden="1">
      <c r="A61" s="361" t="str">
        <f t="shared" si="1"/>
        <v/>
      </c>
      <c r="B61" s="180" t="str">
        <f>""</f>
        <v/>
      </c>
      <c r="C61" s="180" t="s">
        <v>446</v>
      </c>
    </row>
    <row r="62" spans="1:3" hidden="1">
      <c r="A62" s="361" t="str">
        <f t="shared" si="1"/>
        <v/>
      </c>
      <c r="B62" s="180" t="str">
        <f>""</f>
        <v/>
      </c>
      <c r="C62" s="180" t="s">
        <v>447</v>
      </c>
    </row>
    <row r="63" spans="1:3" hidden="1">
      <c r="A63" s="361" t="str">
        <f t="shared" si="1"/>
        <v/>
      </c>
      <c r="B63" s="180" t="str">
        <f>""</f>
        <v/>
      </c>
      <c r="C63" s="180" t="s">
        <v>448</v>
      </c>
    </row>
    <row r="64" spans="1:3" hidden="1">
      <c r="A64" s="361" t="str">
        <f t="shared" si="1"/>
        <v/>
      </c>
      <c r="B64" s="180" t="str">
        <f>""</f>
        <v/>
      </c>
      <c r="C64" s="180" t="s">
        <v>449</v>
      </c>
    </row>
    <row r="65" spans="1:3" hidden="1">
      <c r="A65" s="361" t="str">
        <f t="shared" si="1"/>
        <v/>
      </c>
      <c r="B65" s="180" t="str">
        <f>""</f>
        <v/>
      </c>
      <c r="C65" s="180" t="s">
        <v>450</v>
      </c>
    </row>
    <row r="66" spans="1:3" hidden="1">
      <c r="A66" s="361" t="str">
        <f t="shared" si="1"/>
        <v/>
      </c>
      <c r="B66" s="180" t="str">
        <f>""</f>
        <v/>
      </c>
      <c r="C66" s="180" t="s">
        <v>451</v>
      </c>
    </row>
    <row r="67" spans="1:3" hidden="1">
      <c r="A67" s="361" t="str">
        <f t="shared" si="1"/>
        <v/>
      </c>
      <c r="B67" s="180" t="str">
        <f>""</f>
        <v/>
      </c>
      <c r="C67" s="180" t="s">
        <v>397</v>
      </c>
    </row>
    <row r="68" spans="1:3" hidden="1">
      <c r="A68" s="180"/>
      <c r="B68" s="180"/>
      <c r="C68" s="180"/>
    </row>
    <row r="69" spans="1:3" hidden="1">
      <c r="A69" s="180"/>
      <c r="B69" s="180"/>
      <c r="C69" s="180"/>
    </row>
    <row r="70" spans="1:3" hidden="1">
      <c r="A70" s="180" t="str">
        <f>A1&amp;" "&amp;A2&amp;" - "&amp;A3</f>
        <v xml:space="preserve">Contrato de Gestão nº06/2020 - Secretaria Estadual de Cultura e Instituto Cultural Filarmonica </v>
      </c>
    </row>
    <row r="71" spans="1:3">
      <c r="A71" s="180"/>
    </row>
    <row r="72" spans="1:3">
      <c r="A72" s="180"/>
    </row>
    <row r="73" spans="1:3">
      <c r="A73" s="180"/>
    </row>
    <row r="74" spans="1:3">
      <c r="A74" s="180"/>
    </row>
  </sheetData>
  <sheetProtection algorithmName="SHA-512" hashValue="LKv0J3O21L9aJD+tpaQk/saJ7x1UgjTL+iNLm+5zvNyOpZ7VjbEHwvZ/KJoxqGmL03Br69YRoXvVpoI9bvwOWg==" saltValue="B8m9B41aIqVH0TfXELihhw==" spinCount="100000" sheet="1" formatCells="0"/>
  <phoneticPr fontId="0" type="noConversion"/>
  <dataValidations count="2">
    <dataValidation type="list" allowBlank="1" showInputMessage="1" showErrorMessage="1" sqref="A1" xr:uid="{00000000-0002-0000-0000-000000000000}">
      <formula1>$A$15:$A$16</formula1>
    </dataValidation>
    <dataValidation type="list" allowBlank="1" showInputMessage="1" showErrorMessage="1" error="Selecionar número do RGF na lista suspensa." sqref="A5" xr:uid="{00000000-0002-0000-0000-000001000000}">
      <formula1>$A$17:$A$67</formula1>
    </dataValidation>
  </dataValidations>
  <printOptions horizontalCentered="1"/>
  <pageMargins left="0.19685039370078741" right="0.19685039370078741" top="0.59055118110236227" bottom="0.59055118110236227" header="0" footer="0"/>
  <pageSetup paperSize="9" scale="92" pageOrder="overThenDown" orientation="landscape" r:id="rId1"/>
  <headerFooter differentFirst="1">
    <oddFooter>Página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9">
    <tabColor theme="1" tint="4.9989318521683403E-2"/>
    <pageSetUpPr fitToPage="1"/>
  </sheetPr>
  <dimension ref="A1:S2872"/>
  <sheetViews>
    <sheetView showGridLines="0" tabSelected="1" view="pageBreakPreview" zoomScale="84" zoomScaleNormal="90" zoomScaleSheetLayoutView="84" workbookViewId="0">
      <pane xSplit="6" ySplit="3" topLeftCell="G1898" activePane="bottomRight" state="frozen"/>
      <selection activeCell="G4" sqref="G4"/>
      <selection pane="topRight" activeCell="G4" sqref="G4"/>
      <selection pane="bottomLeft" activeCell="G4" sqref="G4"/>
      <selection pane="bottomRight" activeCell="G1865" sqref="G1865"/>
    </sheetView>
  </sheetViews>
  <sheetFormatPr defaultColWidth="9.140625" defaultRowHeight="12.75"/>
  <cols>
    <col min="1" max="1" width="7.5703125" style="464" customWidth="1"/>
    <col min="2" max="2" width="10.5703125" style="465" bestFit="1" customWidth="1"/>
    <col min="3" max="3" width="10.42578125" style="465" customWidth="1"/>
    <col min="4" max="4" width="15.42578125" style="466" customWidth="1"/>
    <col min="5" max="5" width="23.5703125" style="466" customWidth="1"/>
    <col min="6" max="6" width="14.5703125" style="468" customWidth="1"/>
    <col min="7" max="7" width="44.140625" style="441" customWidth="1"/>
    <col min="8" max="8" width="25.42578125" style="501" customWidth="1"/>
    <col min="9" max="9" width="23.85546875" style="441" customWidth="1"/>
    <col min="10" max="10" width="25" style="440" customWidth="1"/>
    <col min="11" max="11" width="19.5703125" style="442" customWidth="1"/>
    <col min="12" max="12" width="17.42578125" style="442" customWidth="1"/>
    <col min="13" max="13" width="15.42578125" style="442" customWidth="1"/>
    <col min="14" max="14" width="16.28515625" style="442" customWidth="1"/>
    <col min="15" max="15" width="12.42578125" style="467" customWidth="1"/>
    <col min="16" max="16" width="14.85546875" style="467" customWidth="1"/>
    <col min="17" max="17" width="9.140625" style="440"/>
    <col min="18" max="18" width="18.7109375" style="440" customWidth="1"/>
    <col min="19" max="19" width="15.28515625" style="440" customWidth="1"/>
    <col min="20" max="16384" width="9.140625" style="440"/>
  </cols>
  <sheetData>
    <row r="1" spans="1:19" ht="18" customHeight="1">
      <c r="A1" s="541" t="str">
        <f>Capa!A70</f>
        <v xml:space="preserve">Contrato de Gestão nº06/2020 - Secretaria Estadual de Cultura e Instituto Cultural Filarmonica </v>
      </c>
      <c r="B1" s="541"/>
      <c r="C1" s="541"/>
      <c r="D1" s="541"/>
      <c r="E1" s="541"/>
      <c r="F1" s="541"/>
      <c r="G1" s="541"/>
      <c r="H1" s="553"/>
      <c r="I1" s="541"/>
      <c r="J1" s="541"/>
      <c r="K1" s="541"/>
      <c r="L1" s="541"/>
      <c r="M1" s="541"/>
      <c r="N1" s="541"/>
      <c r="O1" s="541"/>
      <c r="P1" s="541"/>
      <c r="R1" s="456"/>
    </row>
    <row r="2" spans="1:19" ht="18" customHeight="1">
      <c r="A2" s="547" t="s">
        <v>385</v>
      </c>
      <c r="B2" s="547"/>
      <c r="C2" s="547"/>
      <c r="D2" s="547"/>
      <c r="E2" s="547"/>
      <c r="F2" s="547"/>
      <c r="G2" s="547"/>
      <c r="H2" s="554"/>
      <c r="I2" s="547"/>
      <c r="J2" s="547"/>
      <c r="K2" s="547"/>
      <c r="L2" s="547"/>
      <c r="M2" s="547"/>
      <c r="N2" s="547"/>
      <c r="O2" s="547"/>
      <c r="P2" s="547"/>
    </row>
    <row r="3" spans="1:19" s="457" customFormat="1" ht="39" customHeight="1">
      <c r="A3" s="472" t="s">
        <v>85</v>
      </c>
      <c r="B3" s="472" t="s">
        <v>257</v>
      </c>
      <c r="C3" s="473" t="s">
        <v>258</v>
      </c>
      <c r="D3" s="472" t="s">
        <v>34</v>
      </c>
      <c r="E3" s="473" t="s">
        <v>41</v>
      </c>
      <c r="F3" s="474" t="s">
        <v>249</v>
      </c>
      <c r="G3" s="473" t="s">
        <v>48</v>
      </c>
      <c r="H3" s="500" t="s">
        <v>276</v>
      </c>
      <c r="I3" s="473" t="s">
        <v>379</v>
      </c>
      <c r="J3" s="473" t="s">
        <v>49</v>
      </c>
      <c r="K3" s="473" t="s">
        <v>49</v>
      </c>
      <c r="L3" s="473" t="s">
        <v>68</v>
      </c>
      <c r="M3" s="473" t="s">
        <v>46</v>
      </c>
      <c r="N3" s="473" t="s">
        <v>67</v>
      </c>
      <c r="O3" s="473" t="s">
        <v>152</v>
      </c>
      <c r="P3" s="473" t="s">
        <v>569</v>
      </c>
      <c r="Q3" s="440"/>
      <c r="R3" s="440"/>
      <c r="S3" s="440"/>
    </row>
    <row r="4" spans="1:19" s="401" customFormat="1" ht="36">
      <c r="A4" s="452">
        <f t="shared" ref="A4:A67" si="0">IF(B4="","",ROW()-ROW($A$3))</f>
        <v>1</v>
      </c>
      <c r="B4" s="387">
        <v>46024</v>
      </c>
      <c r="C4" s="388">
        <v>46024</v>
      </c>
      <c r="D4" s="389" t="s">
        <v>353</v>
      </c>
      <c r="E4" s="394" t="s">
        <v>153</v>
      </c>
      <c r="F4" s="404">
        <v>134070.54</v>
      </c>
      <c r="G4" s="397" t="s">
        <v>821</v>
      </c>
      <c r="H4" s="389" t="s">
        <v>280</v>
      </c>
      <c r="I4" s="394" t="s">
        <v>744</v>
      </c>
      <c r="J4" s="455">
        <v>7837375000150</v>
      </c>
      <c r="K4" s="390" t="str">
        <f>IF(J4="","",IF(LEN(J4)&gt;14,IF(ISBLANK(J4),"",J4),REPLACE(REPLACE(J4,1,3,"XXX"),13,2,"XX")))</f>
        <v>XXX737500015XX</v>
      </c>
      <c r="L4" s="391" t="s">
        <v>1996</v>
      </c>
      <c r="M4" s="398" t="s">
        <v>706</v>
      </c>
      <c r="N4" s="399">
        <v>2012026</v>
      </c>
      <c r="O4" s="399" t="s">
        <v>884</v>
      </c>
      <c r="P4" s="398" t="s">
        <v>574</v>
      </c>
    </row>
    <row r="5" spans="1:19" s="401" customFormat="1" ht="48">
      <c r="A5" s="452">
        <f t="shared" si="0"/>
        <v>2</v>
      </c>
      <c r="B5" s="387">
        <v>46024</v>
      </c>
      <c r="C5" s="388">
        <v>45993</v>
      </c>
      <c r="D5" s="389" t="s">
        <v>353</v>
      </c>
      <c r="E5" s="394" t="s">
        <v>334</v>
      </c>
      <c r="F5" s="404">
        <f>1000000</f>
        <v>1000000</v>
      </c>
      <c r="G5" s="397" t="s">
        <v>1030</v>
      </c>
      <c r="H5" s="389" t="s">
        <v>280</v>
      </c>
      <c r="I5" s="394" t="s">
        <v>744</v>
      </c>
      <c r="J5" s="455">
        <v>7837375000150</v>
      </c>
      <c r="K5" s="390" t="str">
        <f t="shared" ref="K5:K35" si="1">IF(J5="","",IF(LEN(J5)&gt;14,IF(ISBLANK(J5),"",J5),REPLACE(REPLACE(J5,1,3,"XXX"),13,2,"XX")))</f>
        <v>XXX737500015XX</v>
      </c>
      <c r="L5" s="391" t="s">
        <v>1996</v>
      </c>
      <c r="M5" s="398" t="s">
        <v>719</v>
      </c>
      <c r="N5" s="399">
        <v>122025</v>
      </c>
      <c r="O5" s="399" t="s">
        <v>841</v>
      </c>
      <c r="P5" s="398" t="s">
        <v>868</v>
      </c>
    </row>
    <row r="6" spans="1:19" s="401" customFormat="1" ht="48">
      <c r="A6" s="452">
        <f t="shared" si="0"/>
        <v>3</v>
      </c>
      <c r="B6" s="387">
        <v>46024</v>
      </c>
      <c r="C6" s="388">
        <v>45993</v>
      </c>
      <c r="D6" s="389" t="s">
        <v>353</v>
      </c>
      <c r="E6" s="394" t="s">
        <v>334</v>
      </c>
      <c r="F6" s="404">
        <v>398248.28</v>
      </c>
      <c r="G6" s="397" t="s">
        <v>1031</v>
      </c>
      <c r="H6" s="389" t="s">
        <v>280</v>
      </c>
      <c r="I6" s="394" t="s">
        <v>744</v>
      </c>
      <c r="J6" s="455">
        <v>7837375000150</v>
      </c>
      <c r="K6" s="390" t="str">
        <f t="shared" si="1"/>
        <v>XXX737500015XX</v>
      </c>
      <c r="L6" s="391" t="s">
        <v>1996</v>
      </c>
      <c r="M6" s="398" t="s">
        <v>719</v>
      </c>
      <c r="N6" s="399">
        <v>122025</v>
      </c>
      <c r="O6" s="399" t="s">
        <v>841</v>
      </c>
      <c r="P6" s="398" t="s">
        <v>868</v>
      </c>
    </row>
    <row r="7" spans="1:19" s="401" customFormat="1" ht="60">
      <c r="A7" s="452">
        <f t="shared" si="0"/>
        <v>4</v>
      </c>
      <c r="B7" s="387">
        <v>46024</v>
      </c>
      <c r="C7" s="388">
        <v>45993</v>
      </c>
      <c r="D7" s="389" t="s">
        <v>353</v>
      </c>
      <c r="E7" s="394" t="s">
        <v>334</v>
      </c>
      <c r="F7" s="404">
        <v>1751.72</v>
      </c>
      <c r="G7" s="397" t="s">
        <v>1032</v>
      </c>
      <c r="H7" s="389" t="s">
        <v>280</v>
      </c>
      <c r="I7" s="394" t="s">
        <v>744</v>
      </c>
      <c r="J7" s="455">
        <v>7837375000150</v>
      </c>
      <c r="K7" s="390" t="str">
        <f t="shared" si="1"/>
        <v>XXX737500015XX</v>
      </c>
      <c r="L7" s="391" t="s">
        <v>1996</v>
      </c>
      <c r="M7" s="398" t="s">
        <v>719</v>
      </c>
      <c r="N7" s="399">
        <v>122025</v>
      </c>
      <c r="O7" s="399" t="s">
        <v>841</v>
      </c>
      <c r="P7" s="398" t="s">
        <v>868</v>
      </c>
    </row>
    <row r="8" spans="1:19" s="401" customFormat="1" ht="60">
      <c r="A8" s="452">
        <f t="shared" si="0"/>
        <v>5</v>
      </c>
      <c r="B8" s="387">
        <v>46024</v>
      </c>
      <c r="C8" s="388">
        <v>45993</v>
      </c>
      <c r="D8" s="389" t="s">
        <v>353</v>
      </c>
      <c r="E8" s="394" t="s">
        <v>334</v>
      </c>
      <c r="F8" s="404">
        <v>100000</v>
      </c>
      <c r="G8" s="397" t="s">
        <v>1033</v>
      </c>
      <c r="H8" s="389" t="s">
        <v>280</v>
      </c>
      <c r="I8" s="394" t="s">
        <v>744</v>
      </c>
      <c r="J8" s="455">
        <v>7837375000150</v>
      </c>
      <c r="K8" s="390" t="str">
        <f t="shared" si="1"/>
        <v>XXX737500015XX</v>
      </c>
      <c r="L8" s="391" t="s">
        <v>1996</v>
      </c>
      <c r="M8" s="398" t="s">
        <v>719</v>
      </c>
      <c r="N8" s="399">
        <v>122025</v>
      </c>
      <c r="O8" s="399" t="s">
        <v>841</v>
      </c>
      <c r="P8" s="398" t="s">
        <v>868</v>
      </c>
    </row>
    <row r="9" spans="1:19" s="401" customFormat="1" ht="60">
      <c r="A9" s="452">
        <f t="shared" si="0"/>
        <v>6</v>
      </c>
      <c r="B9" s="387">
        <v>46024</v>
      </c>
      <c r="C9" s="388">
        <v>45993</v>
      </c>
      <c r="D9" s="389" t="s">
        <v>353</v>
      </c>
      <c r="E9" s="394" t="s">
        <v>334</v>
      </c>
      <c r="F9" s="404">
        <v>90000</v>
      </c>
      <c r="G9" s="397" t="s">
        <v>1034</v>
      </c>
      <c r="H9" s="389" t="s">
        <v>280</v>
      </c>
      <c r="I9" s="394" t="s">
        <v>744</v>
      </c>
      <c r="J9" s="455">
        <v>7837375000150</v>
      </c>
      <c r="K9" s="390" t="str">
        <f t="shared" si="1"/>
        <v>XXX737500015XX</v>
      </c>
      <c r="L9" s="391" t="s">
        <v>1996</v>
      </c>
      <c r="M9" s="398" t="s">
        <v>719</v>
      </c>
      <c r="N9" s="399">
        <v>122025</v>
      </c>
      <c r="O9" s="399" t="s">
        <v>841</v>
      </c>
      <c r="P9" s="398" t="s">
        <v>868</v>
      </c>
    </row>
    <row r="10" spans="1:19" s="401" customFormat="1" ht="60">
      <c r="A10" s="452">
        <f t="shared" si="0"/>
        <v>7</v>
      </c>
      <c r="B10" s="387">
        <v>46024</v>
      </c>
      <c r="C10" s="388">
        <v>45993</v>
      </c>
      <c r="D10" s="389" t="s">
        <v>353</v>
      </c>
      <c r="E10" s="394" t="s">
        <v>334</v>
      </c>
      <c r="F10" s="404">
        <v>10000</v>
      </c>
      <c r="G10" s="397" t="s">
        <v>1035</v>
      </c>
      <c r="H10" s="389" t="s">
        <v>280</v>
      </c>
      <c r="I10" s="394" t="s">
        <v>744</v>
      </c>
      <c r="J10" s="455">
        <v>7837375000150</v>
      </c>
      <c r="K10" s="390" t="str">
        <f t="shared" si="1"/>
        <v>XXX737500015XX</v>
      </c>
      <c r="L10" s="391" t="s">
        <v>1996</v>
      </c>
      <c r="M10" s="398" t="s">
        <v>719</v>
      </c>
      <c r="N10" s="399">
        <v>122025</v>
      </c>
      <c r="O10" s="399" t="s">
        <v>841</v>
      </c>
      <c r="P10" s="398" t="s">
        <v>868</v>
      </c>
    </row>
    <row r="11" spans="1:19" s="401" customFormat="1" ht="48">
      <c r="A11" s="452">
        <f t="shared" si="0"/>
        <v>8</v>
      </c>
      <c r="B11" s="387">
        <v>46024</v>
      </c>
      <c r="C11" s="388">
        <v>46024</v>
      </c>
      <c r="D11" s="389" t="s">
        <v>353</v>
      </c>
      <c r="E11" s="394" t="s">
        <v>334</v>
      </c>
      <c r="F11" s="404">
        <v>153.9</v>
      </c>
      <c r="G11" s="397" t="s">
        <v>914</v>
      </c>
      <c r="H11" s="389" t="s">
        <v>280</v>
      </c>
      <c r="I11" s="394" t="s">
        <v>744</v>
      </c>
      <c r="J11" s="455">
        <v>7837375000150</v>
      </c>
      <c r="K11" s="390" t="str">
        <f t="shared" si="1"/>
        <v>XXX737500015XX</v>
      </c>
      <c r="L11" s="391" t="s">
        <v>1996</v>
      </c>
      <c r="M11" s="398" t="s">
        <v>711</v>
      </c>
      <c r="N11" s="399">
        <v>12026</v>
      </c>
      <c r="O11" s="399" t="s">
        <v>885</v>
      </c>
      <c r="P11" s="398" t="s">
        <v>868</v>
      </c>
    </row>
    <row r="12" spans="1:19" s="401" customFormat="1" ht="60">
      <c r="A12" s="452">
        <f t="shared" si="0"/>
        <v>9</v>
      </c>
      <c r="B12" s="387">
        <v>46027</v>
      </c>
      <c r="C12" s="388">
        <v>45993</v>
      </c>
      <c r="D12" s="389" t="s">
        <v>248</v>
      </c>
      <c r="E12" s="398" t="s">
        <v>594</v>
      </c>
      <c r="F12" s="404">
        <v>1140</v>
      </c>
      <c r="G12" s="397" t="s">
        <v>915</v>
      </c>
      <c r="H12" s="392" t="s">
        <v>736</v>
      </c>
      <c r="I12" s="398" t="s">
        <v>869</v>
      </c>
      <c r="J12" s="399" t="s">
        <v>870</v>
      </c>
      <c r="K12" s="390" t="str">
        <f t="shared" si="1"/>
        <v>XXX112260001XX</v>
      </c>
      <c r="L12" s="391" t="s">
        <v>1996</v>
      </c>
      <c r="M12" s="398" t="s">
        <v>708</v>
      </c>
      <c r="N12" s="399">
        <v>58</v>
      </c>
      <c r="O12" s="399" t="s">
        <v>844</v>
      </c>
      <c r="P12" s="398" t="s">
        <v>574</v>
      </c>
    </row>
    <row r="13" spans="1:19" s="401" customFormat="1" ht="36">
      <c r="A13" s="452">
        <f t="shared" si="0"/>
        <v>10</v>
      </c>
      <c r="B13" s="387">
        <v>46027</v>
      </c>
      <c r="C13" s="388">
        <v>45993</v>
      </c>
      <c r="D13" s="389" t="s">
        <v>248</v>
      </c>
      <c r="E13" s="398" t="s">
        <v>606</v>
      </c>
      <c r="F13" s="404">
        <v>3866.67</v>
      </c>
      <c r="G13" s="397" t="s">
        <v>916</v>
      </c>
      <c r="H13" s="389" t="s">
        <v>737</v>
      </c>
      <c r="I13" s="398" t="s">
        <v>871</v>
      </c>
      <c r="J13" s="399" t="s">
        <v>872</v>
      </c>
      <c r="K13" s="390" t="str">
        <f t="shared" si="1"/>
        <v>XXX833910001XX</v>
      </c>
      <c r="L13" s="391" t="s">
        <v>1996</v>
      </c>
      <c r="M13" s="398" t="s">
        <v>708</v>
      </c>
      <c r="N13" s="399">
        <v>13</v>
      </c>
      <c r="O13" s="399" t="s">
        <v>851</v>
      </c>
      <c r="P13" s="398" t="s">
        <v>574</v>
      </c>
    </row>
    <row r="14" spans="1:19" s="401" customFormat="1" ht="36">
      <c r="A14" s="452">
        <f t="shared" si="0"/>
        <v>11</v>
      </c>
      <c r="B14" s="387">
        <v>46027</v>
      </c>
      <c r="C14" s="388">
        <v>45963</v>
      </c>
      <c r="D14" s="389" t="s">
        <v>166</v>
      </c>
      <c r="E14" s="394" t="s">
        <v>163</v>
      </c>
      <c r="F14" s="404">
        <v>626.41999999999996</v>
      </c>
      <c r="G14" s="397" t="s">
        <v>917</v>
      </c>
      <c r="H14" s="389" t="s">
        <v>166</v>
      </c>
      <c r="I14" s="398" t="s">
        <v>611</v>
      </c>
      <c r="J14" s="399" t="s">
        <v>612</v>
      </c>
      <c r="K14" s="390" t="str">
        <f t="shared" si="1"/>
        <v>XXX312660001XX</v>
      </c>
      <c r="L14" s="391" t="s">
        <v>1996</v>
      </c>
      <c r="M14" s="398" t="s">
        <v>704</v>
      </c>
      <c r="N14" s="399">
        <v>2220</v>
      </c>
      <c r="O14" s="399" t="s">
        <v>846</v>
      </c>
      <c r="P14" s="398" t="s">
        <v>574</v>
      </c>
    </row>
    <row r="15" spans="1:19" s="401" customFormat="1" ht="36">
      <c r="A15" s="452">
        <f t="shared" si="0"/>
        <v>12</v>
      </c>
      <c r="B15" s="387">
        <v>46027</v>
      </c>
      <c r="C15" s="388">
        <v>45993</v>
      </c>
      <c r="D15" s="389" t="s">
        <v>248</v>
      </c>
      <c r="E15" s="398" t="s">
        <v>591</v>
      </c>
      <c r="F15" s="404">
        <v>1200</v>
      </c>
      <c r="G15" s="397" t="s">
        <v>918</v>
      </c>
      <c r="H15" s="392" t="s">
        <v>736</v>
      </c>
      <c r="I15" s="398" t="s">
        <v>831</v>
      </c>
      <c r="J15" s="399" t="s">
        <v>832</v>
      </c>
      <c r="K15" s="390" t="str">
        <f t="shared" si="1"/>
        <v>XXX727350001XX</v>
      </c>
      <c r="L15" s="391" t="s">
        <v>1996</v>
      </c>
      <c r="M15" s="398" t="s">
        <v>708</v>
      </c>
      <c r="N15" s="399">
        <v>66</v>
      </c>
      <c r="O15" s="399" t="s">
        <v>839</v>
      </c>
      <c r="P15" s="398" t="s">
        <v>574</v>
      </c>
    </row>
    <row r="16" spans="1:19" s="401" customFormat="1" ht="48">
      <c r="A16" s="452">
        <f t="shared" si="0"/>
        <v>13</v>
      </c>
      <c r="B16" s="387">
        <v>46027</v>
      </c>
      <c r="C16" s="388">
        <v>46024</v>
      </c>
      <c r="D16" s="389" t="s">
        <v>353</v>
      </c>
      <c r="E16" s="398" t="s">
        <v>587</v>
      </c>
      <c r="F16" s="404">
        <v>100</v>
      </c>
      <c r="G16" s="397" t="s">
        <v>919</v>
      </c>
      <c r="H16" s="389" t="s">
        <v>280</v>
      </c>
      <c r="I16" s="394" t="s">
        <v>744</v>
      </c>
      <c r="J16" s="455">
        <v>7837375000150</v>
      </c>
      <c r="K16" s="390" t="str">
        <f t="shared" si="1"/>
        <v>XXX737500015XX</v>
      </c>
      <c r="L16" s="391" t="s">
        <v>1996</v>
      </c>
      <c r="M16" s="398" t="s">
        <v>708</v>
      </c>
      <c r="N16" s="399">
        <v>12026</v>
      </c>
      <c r="O16" s="399" t="s">
        <v>886</v>
      </c>
      <c r="P16" s="398" t="s">
        <v>574</v>
      </c>
    </row>
    <row r="17" spans="1:16" s="401" customFormat="1" ht="48">
      <c r="A17" s="452">
        <f t="shared" si="0"/>
        <v>14</v>
      </c>
      <c r="B17" s="387">
        <v>46027</v>
      </c>
      <c r="C17" s="388">
        <v>46024</v>
      </c>
      <c r="D17" s="389" t="s">
        <v>353</v>
      </c>
      <c r="E17" s="398" t="s">
        <v>587</v>
      </c>
      <c r="F17" s="404">
        <v>100</v>
      </c>
      <c r="G17" s="397" t="s">
        <v>920</v>
      </c>
      <c r="H17" s="389" t="s">
        <v>280</v>
      </c>
      <c r="I17" s="394" t="s">
        <v>744</v>
      </c>
      <c r="J17" s="455">
        <v>7837375000150</v>
      </c>
      <c r="K17" s="390" t="str">
        <f t="shared" si="1"/>
        <v>XXX737500015XX</v>
      </c>
      <c r="L17" s="391" t="s">
        <v>1996</v>
      </c>
      <c r="M17" s="398" t="s">
        <v>708</v>
      </c>
      <c r="N17" s="399">
        <v>12026</v>
      </c>
      <c r="O17" s="399" t="s">
        <v>579</v>
      </c>
      <c r="P17" s="398" t="s">
        <v>574</v>
      </c>
    </row>
    <row r="18" spans="1:16" s="401" customFormat="1" ht="36">
      <c r="A18" s="452">
        <f t="shared" si="0"/>
        <v>15</v>
      </c>
      <c r="B18" s="387">
        <v>46027</v>
      </c>
      <c r="C18" s="388">
        <v>45993</v>
      </c>
      <c r="D18" s="389" t="s">
        <v>353</v>
      </c>
      <c r="E18" s="394" t="s">
        <v>334</v>
      </c>
      <c r="F18" s="404">
        <v>762113.41</v>
      </c>
      <c r="G18" s="397" t="s">
        <v>1036</v>
      </c>
      <c r="H18" s="389" t="s">
        <v>280</v>
      </c>
      <c r="I18" s="394" t="s">
        <v>744</v>
      </c>
      <c r="J18" s="455">
        <v>7837375000150</v>
      </c>
      <c r="K18" s="390" t="str">
        <f t="shared" si="1"/>
        <v>XXX737500015XX</v>
      </c>
      <c r="L18" s="391" t="s">
        <v>1996</v>
      </c>
      <c r="M18" s="398" t="s">
        <v>711</v>
      </c>
      <c r="N18" s="399">
        <v>122025</v>
      </c>
      <c r="O18" s="399" t="s">
        <v>834</v>
      </c>
      <c r="P18" s="398" t="s">
        <v>576</v>
      </c>
    </row>
    <row r="19" spans="1:16" s="401" customFormat="1" ht="48">
      <c r="A19" s="452">
        <f t="shared" si="0"/>
        <v>16</v>
      </c>
      <c r="B19" s="387">
        <v>46027</v>
      </c>
      <c r="C19" s="388">
        <v>45993</v>
      </c>
      <c r="D19" s="389" t="s">
        <v>353</v>
      </c>
      <c r="E19" s="394" t="s">
        <v>334</v>
      </c>
      <c r="F19" s="404">
        <v>1000000</v>
      </c>
      <c r="G19" s="397" t="s">
        <v>1037</v>
      </c>
      <c r="H19" s="389" t="s">
        <v>280</v>
      </c>
      <c r="I19" s="394" t="s">
        <v>744</v>
      </c>
      <c r="J19" s="455">
        <v>7837375000150</v>
      </c>
      <c r="K19" s="390" t="str">
        <f t="shared" si="1"/>
        <v>XXX737500015XX</v>
      </c>
      <c r="L19" s="391" t="s">
        <v>1996</v>
      </c>
      <c r="M19" s="398" t="s">
        <v>711</v>
      </c>
      <c r="N19" s="399">
        <v>122025</v>
      </c>
      <c r="O19" s="399" t="s">
        <v>856</v>
      </c>
      <c r="P19" s="398" t="s">
        <v>576</v>
      </c>
    </row>
    <row r="20" spans="1:16" s="401" customFormat="1" ht="36">
      <c r="A20" s="452">
        <f t="shared" si="0"/>
        <v>17</v>
      </c>
      <c r="B20" s="387">
        <v>46027</v>
      </c>
      <c r="C20" s="388">
        <v>45993</v>
      </c>
      <c r="D20" s="389" t="s">
        <v>353</v>
      </c>
      <c r="E20" s="394" t="s">
        <v>334</v>
      </c>
      <c r="F20" s="404">
        <v>160000</v>
      </c>
      <c r="G20" s="397" t="s">
        <v>1038</v>
      </c>
      <c r="H20" s="389" t="s">
        <v>280</v>
      </c>
      <c r="I20" s="394" t="s">
        <v>744</v>
      </c>
      <c r="J20" s="455">
        <v>7837375000150</v>
      </c>
      <c r="K20" s="390" t="str">
        <f t="shared" si="1"/>
        <v>XXX737500015XX</v>
      </c>
      <c r="L20" s="391" t="s">
        <v>1996</v>
      </c>
      <c r="M20" s="398" t="s">
        <v>711</v>
      </c>
      <c r="N20" s="399">
        <v>122025</v>
      </c>
      <c r="O20" s="399" t="s">
        <v>855</v>
      </c>
      <c r="P20" s="398" t="s">
        <v>576</v>
      </c>
    </row>
    <row r="21" spans="1:16" s="401" customFormat="1" ht="48">
      <c r="A21" s="452">
        <f t="shared" si="0"/>
        <v>18</v>
      </c>
      <c r="B21" s="387">
        <v>46027</v>
      </c>
      <c r="C21" s="388">
        <v>45993</v>
      </c>
      <c r="D21" s="389" t="s">
        <v>353</v>
      </c>
      <c r="E21" s="394" t="s">
        <v>334</v>
      </c>
      <c r="F21" s="404">
        <v>60000</v>
      </c>
      <c r="G21" s="397" t="s">
        <v>1039</v>
      </c>
      <c r="H21" s="389" t="s">
        <v>280</v>
      </c>
      <c r="I21" s="394" t="s">
        <v>744</v>
      </c>
      <c r="J21" s="455">
        <v>7837375000150</v>
      </c>
      <c r="K21" s="390" t="str">
        <f t="shared" si="1"/>
        <v>XXX737500015XX</v>
      </c>
      <c r="L21" s="391" t="s">
        <v>1996</v>
      </c>
      <c r="M21" s="398" t="s">
        <v>711</v>
      </c>
      <c r="N21" s="399">
        <v>122025</v>
      </c>
      <c r="O21" s="399" t="s">
        <v>856</v>
      </c>
      <c r="P21" s="398" t="s">
        <v>576</v>
      </c>
    </row>
    <row r="22" spans="1:16" s="401" customFormat="1" ht="48">
      <c r="A22" s="452">
        <f t="shared" si="0"/>
        <v>19</v>
      </c>
      <c r="B22" s="387">
        <v>46027</v>
      </c>
      <c r="C22" s="388">
        <v>46024</v>
      </c>
      <c r="D22" s="389" t="s">
        <v>353</v>
      </c>
      <c r="E22" s="394" t="s">
        <v>334</v>
      </c>
      <c r="F22" s="404">
        <v>11221.96</v>
      </c>
      <c r="G22" s="397" t="s">
        <v>921</v>
      </c>
      <c r="H22" s="389" t="s">
        <v>280</v>
      </c>
      <c r="I22" s="394" t="s">
        <v>744</v>
      </c>
      <c r="J22" s="455">
        <v>7837375000150</v>
      </c>
      <c r="K22" s="390" t="str">
        <f t="shared" si="1"/>
        <v>XXX737500015XX</v>
      </c>
      <c r="L22" s="391" t="s">
        <v>1996</v>
      </c>
      <c r="M22" s="398" t="s">
        <v>711</v>
      </c>
      <c r="N22" s="399">
        <v>122025</v>
      </c>
      <c r="O22" s="399" t="s">
        <v>886</v>
      </c>
      <c r="P22" s="398" t="s">
        <v>576</v>
      </c>
    </row>
    <row r="23" spans="1:16" s="401" customFormat="1" ht="108">
      <c r="A23" s="452">
        <f t="shared" si="0"/>
        <v>20</v>
      </c>
      <c r="B23" s="387">
        <v>46028</v>
      </c>
      <c r="C23" s="388">
        <v>45993</v>
      </c>
      <c r="D23" s="389" t="s">
        <v>248</v>
      </c>
      <c r="E23" s="393" t="s">
        <v>164</v>
      </c>
      <c r="F23" s="404">
        <v>19.899999999999999</v>
      </c>
      <c r="G23" s="397" t="s">
        <v>922</v>
      </c>
      <c r="H23" s="389" t="s">
        <v>278</v>
      </c>
      <c r="I23" s="398" t="s">
        <v>616</v>
      </c>
      <c r="J23" s="399" t="s">
        <v>617</v>
      </c>
      <c r="K23" s="390" t="str">
        <f t="shared" si="1"/>
        <v>XXX239040003XX</v>
      </c>
      <c r="L23" s="391" t="s">
        <v>1996</v>
      </c>
      <c r="M23" s="398" t="s">
        <v>704</v>
      </c>
      <c r="N23" s="399">
        <v>441022</v>
      </c>
      <c r="O23" s="399" t="s">
        <v>828</v>
      </c>
      <c r="P23" s="398" t="s">
        <v>574</v>
      </c>
    </row>
    <row r="24" spans="1:16" s="401" customFormat="1" ht="36">
      <c r="A24" s="452">
        <f t="shared" si="0"/>
        <v>21</v>
      </c>
      <c r="B24" s="387">
        <v>46028</v>
      </c>
      <c r="C24" s="388">
        <v>45993</v>
      </c>
      <c r="D24" s="389" t="s">
        <v>248</v>
      </c>
      <c r="E24" s="393" t="s">
        <v>164</v>
      </c>
      <c r="F24" s="404">
        <v>1425.37</v>
      </c>
      <c r="G24" s="397" t="s">
        <v>923</v>
      </c>
      <c r="H24" s="389" t="s">
        <v>278</v>
      </c>
      <c r="I24" s="398" t="s">
        <v>628</v>
      </c>
      <c r="J24" s="399" t="s">
        <v>629</v>
      </c>
      <c r="K24" s="390" t="str">
        <f t="shared" si="1"/>
        <v>XXX905900001XX</v>
      </c>
      <c r="L24" s="391" t="s">
        <v>1996</v>
      </c>
      <c r="M24" s="398" t="s">
        <v>704</v>
      </c>
      <c r="N24" s="399">
        <v>15368513</v>
      </c>
      <c r="O24" s="399" t="s">
        <v>834</v>
      </c>
      <c r="P24" s="398" t="s">
        <v>574</v>
      </c>
    </row>
    <row r="25" spans="1:16" s="401" customFormat="1" ht="36">
      <c r="A25" s="452">
        <f t="shared" si="0"/>
        <v>22</v>
      </c>
      <c r="B25" s="387">
        <v>46028</v>
      </c>
      <c r="C25" s="388">
        <v>45993</v>
      </c>
      <c r="D25" s="389" t="s">
        <v>248</v>
      </c>
      <c r="E25" s="398" t="s">
        <v>597</v>
      </c>
      <c r="F25" s="404">
        <v>2880</v>
      </c>
      <c r="G25" s="397" t="s">
        <v>924</v>
      </c>
      <c r="H25" s="389" t="s">
        <v>278</v>
      </c>
      <c r="I25" s="398" t="s">
        <v>873</v>
      </c>
      <c r="J25" s="399" t="s">
        <v>874</v>
      </c>
      <c r="K25" s="390" t="str">
        <f t="shared" si="1"/>
        <v>XXX125000001XX</v>
      </c>
      <c r="L25" s="391" t="s">
        <v>1996</v>
      </c>
      <c r="M25" s="398" t="s">
        <v>704</v>
      </c>
      <c r="N25" s="399">
        <v>800</v>
      </c>
      <c r="O25" s="399" t="s">
        <v>842</v>
      </c>
      <c r="P25" s="398" t="s">
        <v>574</v>
      </c>
    </row>
    <row r="26" spans="1:16" s="401" customFormat="1" ht="36">
      <c r="A26" s="452">
        <f t="shared" si="0"/>
        <v>23</v>
      </c>
      <c r="B26" s="387">
        <v>46028</v>
      </c>
      <c r="C26" s="388">
        <v>45993</v>
      </c>
      <c r="D26" s="389" t="s">
        <v>248</v>
      </c>
      <c r="E26" s="398" t="s">
        <v>588</v>
      </c>
      <c r="F26" s="404">
        <v>2275.02</v>
      </c>
      <c r="G26" s="397" t="s">
        <v>925</v>
      </c>
      <c r="H26" s="389" t="s">
        <v>278</v>
      </c>
      <c r="I26" s="398" t="s">
        <v>630</v>
      </c>
      <c r="J26" s="399" t="s">
        <v>631</v>
      </c>
      <c r="K26" s="390" t="str">
        <f t="shared" si="1"/>
        <v>XXX956460001XX</v>
      </c>
      <c r="L26" s="391" t="s">
        <v>1996</v>
      </c>
      <c r="M26" s="398" t="s">
        <v>704</v>
      </c>
      <c r="N26" s="399">
        <v>150</v>
      </c>
      <c r="O26" s="399" t="s">
        <v>834</v>
      </c>
      <c r="P26" s="398" t="s">
        <v>574</v>
      </c>
    </row>
    <row r="27" spans="1:16" s="401" customFormat="1" ht="36">
      <c r="A27" s="452">
        <f t="shared" si="0"/>
        <v>24</v>
      </c>
      <c r="B27" s="387">
        <v>46028</v>
      </c>
      <c r="C27" s="388">
        <v>45963</v>
      </c>
      <c r="D27" s="389" t="s">
        <v>166</v>
      </c>
      <c r="E27" s="394" t="s">
        <v>163</v>
      </c>
      <c r="F27" s="404">
        <v>550.95000000000005</v>
      </c>
      <c r="G27" s="397" t="s">
        <v>917</v>
      </c>
      <c r="H27" s="389" t="s">
        <v>166</v>
      </c>
      <c r="I27" s="398" t="s">
        <v>611</v>
      </c>
      <c r="J27" s="399" t="s">
        <v>612</v>
      </c>
      <c r="K27" s="390" t="str">
        <f t="shared" si="1"/>
        <v>XXX312660001XX</v>
      </c>
      <c r="L27" s="391" t="s">
        <v>1996</v>
      </c>
      <c r="M27" s="398" t="s">
        <v>704</v>
      </c>
      <c r="N27" s="399">
        <v>2221</v>
      </c>
      <c r="O27" s="399" t="s">
        <v>846</v>
      </c>
      <c r="P27" s="398" t="s">
        <v>574</v>
      </c>
    </row>
    <row r="28" spans="1:16" s="401" customFormat="1" ht="36">
      <c r="A28" s="452">
        <f t="shared" si="0"/>
        <v>25</v>
      </c>
      <c r="B28" s="387">
        <v>46028</v>
      </c>
      <c r="C28" s="388">
        <v>46024</v>
      </c>
      <c r="D28" s="389" t="s">
        <v>248</v>
      </c>
      <c r="E28" s="398" t="s">
        <v>609</v>
      </c>
      <c r="F28" s="404">
        <v>36.880000000000003</v>
      </c>
      <c r="G28" s="397" t="s">
        <v>926</v>
      </c>
      <c r="H28" s="389" t="s">
        <v>278</v>
      </c>
      <c r="I28" s="398" t="s">
        <v>680</v>
      </c>
      <c r="J28" s="399" t="s">
        <v>751</v>
      </c>
      <c r="K28" s="390" t="str">
        <f t="shared" si="1"/>
        <v>XXX283160001XX</v>
      </c>
      <c r="L28" s="391" t="s">
        <v>1996</v>
      </c>
      <c r="M28" s="398" t="s">
        <v>704</v>
      </c>
      <c r="N28" s="399">
        <v>2409516</v>
      </c>
      <c r="O28" s="399" t="s">
        <v>886</v>
      </c>
      <c r="P28" s="398" t="s">
        <v>574</v>
      </c>
    </row>
    <row r="29" spans="1:16" s="401" customFormat="1" ht="48">
      <c r="A29" s="452">
        <f t="shared" si="0"/>
        <v>26</v>
      </c>
      <c r="B29" s="387">
        <v>46028</v>
      </c>
      <c r="C29" s="388">
        <v>45963</v>
      </c>
      <c r="D29" s="389" t="s">
        <v>248</v>
      </c>
      <c r="E29" s="393" t="s">
        <v>169</v>
      </c>
      <c r="F29" s="404">
        <v>129.84</v>
      </c>
      <c r="G29" s="397" t="s">
        <v>927</v>
      </c>
      <c r="H29" s="389" t="s">
        <v>278</v>
      </c>
      <c r="I29" s="398" t="s">
        <v>624</v>
      </c>
      <c r="J29" s="399" t="s">
        <v>625</v>
      </c>
      <c r="K29" s="390" t="str">
        <f t="shared" si="1"/>
        <v>XXX924510001XX</v>
      </c>
      <c r="L29" s="391" t="s">
        <v>1996</v>
      </c>
      <c r="M29" s="398" t="s">
        <v>709</v>
      </c>
      <c r="N29" s="399">
        <v>119</v>
      </c>
      <c r="O29" s="399" t="s">
        <v>827</v>
      </c>
      <c r="P29" s="398" t="s">
        <v>574</v>
      </c>
    </row>
    <row r="30" spans="1:16" s="401" customFormat="1" ht="48">
      <c r="A30" s="452">
        <f t="shared" si="0"/>
        <v>27</v>
      </c>
      <c r="B30" s="387">
        <v>46028</v>
      </c>
      <c r="C30" s="388">
        <v>45963</v>
      </c>
      <c r="D30" s="389" t="s">
        <v>248</v>
      </c>
      <c r="E30" s="393" t="s">
        <v>169</v>
      </c>
      <c r="F30" s="404">
        <v>3708.43</v>
      </c>
      <c r="G30" s="397" t="s">
        <v>927</v>
      </c>
      <c r="H30" s="389" t="s">
        <v>278</v>
      </c>
      <c r="I30" s="398" t="s">
        <v>634</v>
      </c>
      <c r="J30" s="399" t="s">
        <v>773</v>
      </c>
      <c r="K30" s="390" t="str">
        <f t="shared" si="1"/>
        <v>XXX000000000XX</v>
      </c>
      <c r="L30" s="391" t="s">
        <v>1996</v>
      </c>
      <c r="M30" s="398" t="s">
        <v>704</v>
      </c>
      <c r="N30" s="399">
        <v>119</v>
      </c>
      <c r="O30" s="399" t="s">
        <v>827</v>
      </c>
      <c r="P30" s="398" t="s">
        <v>574</v>
      </c>
    </row>
    <row r="31" spans="1:16" s="401" customFormat="1" ht="36">
      <c r="A31" s="452">
        <f t="shared" si="0"/>
        <v>28</v>
      </c>
      <c r="B31" s="387">
        <v>46028</v>
      </c>
      <c r="C31" s="388">
        <v>45993</v>
      </c>
      <c r="D31" s="389" t="s">
        <v>248</v>
      </c>
      <c r="E31" s="393" t="s">
        <v>164</v>
      </c>
      <c r="F31" s="404">
        <v>7.9</v>
      </c>
      <c r="G31" s="397" t="s">
        <v>928</v>
      </c>
      <c r="H31" s="389" t="s">
        <v>278</v>
      </c>
      <c r="I31" s="398" t="s">
        <v>624</v>
      </c>
      <c r="J31" s="399" t="s">
        <v>625</v>
      </c>
      <c r="K31" s="390" t="str">
        <f t="shared" si="1"/>
        <v>XXX924510001XX</v>
      </c>
      <c r="L31" s="391" t="s">
        <v>1996</v>
      </c>
      <c r="M31" s="398" t="s">
        <v>709</v>
      </c>
      <c r="N31" s="399">
        <v>562054</v>
      </c>
      <c r="O31" s="399" t="s">
        <v>845</v>
      </c>
      <c r="P31" s="398" t="s">
        <v>574</v>
      </c>
    </row>
    <row r="32" spans="1:16" s="401" customFormat="1" ht="36">
      <c r="A32" s="452">
        <f t="shared" si="0"/>
        <v>29</v>
      </c>
      <c r="B32" s="387">
        <v>46028</v>
      </c>
      <c r="C32" s="388">
        <v>45993</v>
      </c>
      <c r="D32" s="389" t="s">
        <v>248</v>
      </c>
      <c r="E32" s="393" t="s">
        <v>164</v>
      </c>
      <c r="F32" s="404">
        <v>225.42</v>
      </c>
      <c r="G32" s="397" t="s">
        <v>928</v>
      </c>
      <c r="H32" s="389" t="s">
        <v>278</v>
      </c>
      <c r="I32" s="398" t="s">
        <v>627</v>
      </c>
      <c r="J32" s="399" t="s">
        <v>773</v>
      </c>
      <c r="K32" s="390" t="str">
        <f t="shared" si="1"/>
        <v>XXX000000000XX</v>
      </c>
      <c r="L32" s="391" t="s">
        <v>1996</v>
      </c>
      <c r="M32" s="398" t="s">
        <v>704</v>
      </c>
      <c r="N32" s="399">
        <v>562054</v>
      </c>
      <c r="O32" s="399" t="s">
        <v>845</v>
      </c>
      <c r="P32" s="398" t="s">
        <v>574</v>
      </c>
    </row>
    <row r="33" spans="1:16" s="401" customFormat="1" ht="36">
      <c r="A33" s="452">
        <f t="shared" si="0"/>
        <v>30</v>
      </c>
      <c r="B33" s="387">
        <v>46028</v>
      </c>
      <c r="C33" s="388">
        <v>45993</v>
      </c>
      <c r="D33" s="389" t="s">
        <v>248</v>
      </c>
      <c r="E33" s="393" t="s">
        <v>164</v>
      </c>
      <c r="F33" s="404">
        <v>9.91</v>
      </c>
      <c r="G33" s="397" t="s">
        <v>929</v>
      </c>
      <c r="H33" s="389" t="s">
        <v>278</v>
      </c>
      <c r="I33" s="398" t="s">
        <v>624</v>
      </c>
      <c r="J33" s="399" t="s">
        <v>625</v>
      </c>
      <c r="K33" s="390" t="str">
        <f t="shared" si="1"/>
        <v>XXX924510001XX</v>
      </c>
      <c r="L33" s="391" t="s">
        <v>1996</v>
      </c>
      <c r="M33" s="398" t="s">
        <v>709</v>
      </c>
      <c r="N33" s="399">
        <v>700604</v>
      </c>
      <c r="O33" s="399" t="s">
        <v>845</v>
      </c>
      <c r="P33" s="398" t="s">
        <v>574</v>
      </c>
    </row>
    <row r="34" spans="1:16" s="401" customFormat="1" ht="36">
      <c r="A34" s="452">
        <f t="shared" si="0"/>
        <v>31</v>
      </c>
      <c r="B34" s="387">
        <v>46028</v>
      </c>
      <c r="C34" s="388">
        <v>45993</v>
      </c>
      <c r="D34" s="389" t="s">
        <v>248</v>
      </c>
      <c r="E34" s="393" t="s">
        <v>164</v>
      </c>
      <c r="F34" s="404">
        <v>283.22000000000003</v>
      </c>
      <c r="G34" s="397" t="s">
        <v>929</v>
      </c>
      <c r="H34" s="389" t="s">
        <v>278</v>
      </c>
      <c r="I34" s="398" t="s">
        <v>626</v>
      </c>
      <c r="J34" s="399" t="s">
        <v>773</v>
      </c>
      <c r="K34" s="390" t="str">
        <f t="shared" si="1"/>
        <v>XXX000000000XX</v>
      </c>
      <c r="L34" s="391" t="s">
        <v>1996</v>
      </c>
      <c r="M34" s="398" t="s">
        <v>704</v>
      </c>
      <c r="N34" s="399">
        <v>700604</v>
      </c>
      <c r="O34" s="399" t="s">
        <v>845</v>
      </c>
      <c r="P34" s="398" t="s">
        <v>574</v>
      </c>
    </row>
    <row r="35" spans="1:16" s="401" customFormat="1" ht="36">
      <c r="A35" s="452">
        <f t="shared" si="0"/>
        <v>32</v>
      </c>
      <c r="B35" s="387">
        <v>46028</v>
      </c>
      <c r="C35" s="388">
        <v>45993</v>
      </c>
      <c r="D35" s="389" t="s">
        <v>248</v>
      </c>
      <c r="E35" s="393" t="s">
        <v>164</v>
      </c>
      <c r="F35" s="404">
        <v>20.27</v>
      </c>
      <c r="G35" s="397" t="s">
        <v>930</v>
      </c>
      <c r="H35" s="389" t="s">
        <v>278</v>
      </c>
      <c r="I35" s="398" t="s">
        <v>624</v>
      </c>
      <c r="J35" s="399" t="s">
        <v>625</v>
      </c>
      <c r="K35" s="390" t="str">
        <f t="shared" si="1"/>
        <v>XXX924510001XX</v>
      </c>
      <c r="L35" s="391" t="s">
        <v>1996</v>
      </c>
      <c r="M35" s="398" t="s">
        <v>709</v>
      </c>
      <c r="N35" s="399">
        <v>5720552</v>
      </c>
      <c r="O35" s="399" t="s">
        <v>850</v>
      </c>
      <c r="P35" s="398" t="s">
        <v>574</v>
      </c>
    </row>
    <row r="36" spans="1:16" s="401" customFormat="1" ht="36">
      <c r="A36" s="452">
        <f t="shared" si="0"/>
        <v>33</v>
      </c>
      <c r="B36" s="387">
        <v>46028</v>
      </c>
      <c r="C36" s="388">
        <v>45993</v>
      </c>
      <c r="D36" s="389" t="s">
        <v>248</v>
      </c>
      <c r="E36" s="393" t="s">
        <v>164</v>
      </c>
      <c r="F36" s="404">
        <v>579.15</v>
      </c>
      <c r="G36" s="397" t="s">
        <v>930</v>
      </c>
      <c r="H36" s="389" t="s">
        <v>278</v>
      </c>
      <c r="I36" s="398" t="s">
        <v>875</v>
      </c>
      <c r="J36" s="399" t="s">
        <v>773</v>
      </c>
      <c r="K36" s="390" t="str">
        <f t="shared" ref="K36:K92" si="2">IF(J36="","",IF(LEN(J36)&gt;14,IF(ISBLANK(J36),"",J36),REPLACE(REPLACE(J36,1,3,"XXX"),13,2,"XX")))</f>
        <v>XXX000000000XX</v>
      </c>
      <c r="L36" s="391" t="s">
        <v>1996</v>
      </c>
      <c r="M36" s="398" t="s">
        <v>704</v>
      </c>
      <c r="N36" s="399">
        <v>5720552</v>
      </c>
      <c r="O36" s="399" t="s">
        <v>850</v>
      </c>
      <c r="P36" s="398" t="s">
        <v>574</v>
      </c>
    </row>
    <row r="37" spans="1:16" s="401" customFormat="1" ht="36">
      <c r="A37" s="452">
        <f t="shared" si="0"/>
        <v>34</v>
      </c>
      <c r="B37" s="387">
        <v>46028</v>
      </c>
      <c r="C37" s="388">
        <v>45963</v>
      </c>
      <c r="D37" s="389" t="s">
        <v>248</v>
      </c>
      <c r="E37" s="398" t="s">
        <v>590</v>
      </c>
      <c r="F37" s="404">
        <v>191.48</v>
      </c>
      <c r="G37" s="397" t="s">
        <v>931</v>
      </c>
      <c r="H37" s="392" t="s">
        <v>736</v>
      </c>
      <c r="I37" s="398" t="s">
        <v>624</v>
      </c>
      <c r="J37" s="399" t="s">
        <v>625</v>
      </c>
      <c r="K37" s="390" t="str">
        <f t="shared" si="2"/>
        <v>XXX924510001XX</v>
      </c>
      <c r="L37" s="391" t="s">
        <v>1996</v>
      </c>
      <c r="M37" s="398" t="s">
        <v>709</v>
      </c>
      <c r="N37" s="399">
        <v>5867</v>
      </c>
      <c r="O37" s="399" t="s">
        <v>823</v>
      </c>
      <c r="P37" s="398" t="s">
        <v>574</v>
      </c>
    </row>
    <row r="38" spans="1:16" s="401" customFormat="1" ht="36">
      <c r="A38" s="452">
        <f t="shared" si="0"/>
        <v>35</v>
      </c>
      <c r="B38" s="387">
        <v>46028</v>
      </c>
      <c r="C38" s="388">
        <v>45963</v>
      </c>
      <c r="D38" s="389" t="s">
        <v>248</v>
      </c>
      <c r="E38" s="398" t="s">
        <v>590</v>
      </c>
      <c r="F38" s="404">
        <v>5469.3</v>
      </c>
      <c r="G38" s="397" t="s">
        <v>931</v>
      </c>
      <c r="H38" s="392" t="s">
        <v>736</v>
      </c>
      <c r="I38" s="398" t="s">
        <v>876</v>
      </c>
      <c r="J38" s="399" t="s">
        <v>773</v>
      </c>
      <c r="K38" s="390" t="str">
        <f t="shared" si="2"/>
        <v>XXX000000000XX</v>
      </c>
      <c r="L38" s="391" t="s">
        <v>1996</v>
      </c>
      <c r="M38" s="398" t="s">
        <v>704</v>
      </c>
      <c r="N38" s="399">
        <v>5867</v>
      </c>
      <c r="O38" s="399" t="s">
        <v>823</v>
      </c>
      <c r="P38" s="398" t="s">
        <v>574</v>
      </c>
    </row>
    <row r="39" spans="1:16" s="401" customFormat="1" ht="60">
      <c r="A39" s="452">
        <f t="shared" si="0"/>
        <v>36</v>
      </c>
      <c r="B39" s="387">
        <v>46028</v>
      </c>
      <c r="C39" s="388">
        <v>45963</v>
      </c>
      <c r="D39" s="389" t="s">
        <v>248</v>
      </c>
      <c r="E39" s="398" t="s">
        <v>582</v>
      </c>
      <c r="F39" s="404">
        <v>79.91</v>
      </c>
      <c r="G39" s="397" t="s">
        <v>786</v>
      </c>
      <c r="H39" s="389" t="s">
        <v>737</v>
      </c>
      <c r="I39" s="398" t="s">
        <v>614</v>
      </c>
      <c r="J39" s="399" t="s">
        <v>615</v>
      </c>
      <c r="K39" s="390" t="str">
        <f t="shared" si="2"/>
        <v>XXX470160001XX</v>
      </c>
      <c r="L39" s="391" t="s">
        <v>1996</v>
      </c>
      <c r="M39" s="398" t="s">
        <v>704</v>
      </c>
      <c r="N39" s="399">
        <v>5762</v>
      </c>
      <c r="O39" s="399" t="s">
        <v>837</v>
      </c>
      <c r="P39" s="398" t="s">
        <v>574</v>
      </c>
    </row>
    <row r="40" spans="1:16" s="401" customFormat="1" ht="60">
      <c r="A40" s="452">
        <f t="shared" si="0"/>
        <v>37</v>
      </c>
      <c r="B40" s="387">
        <v>46028</v>
      </c>
      <c r="C40" s="388">
        <v>45993</v>
      </c>
      <c r="D40" s="389" t="s">
        <v>248</v>
      </c>
      <c r="E40" s="398" t="s">
        <v>582</v>
      </c>
      <c r="F40" s="404">
        <v>1500.07</v>
      </c>
      <c r="G40" s="397" t="s">
        <v>786</v>
      </c>
      <c r="H40" s="389" t="s">
        <v>737</v>
      </c>
      <c r="I40" s="398" t="s">
        <v>614</v>
      </c>
      <c r="J40" s="399" t="s">
        <v>615</v>
      </c>
      <c r="K40" s="390" t="str">
        <f t="shared" si="2"/>
        <v>XXX470160001XX</v>
      </c>
      <c r="L40" s="391" t="s">
        <v>1996</v>
      </c>
      <c r="M40" s="398" t="s">
        <v>704</v>
      </c>
      <c r="N40" s="399">
        <v>2030</v>
      </c>
      <c r="O40" s="399" t="s">
        <v>847</v>
      </c>
      <c r="P40" s="398" t="s">
        <v>574</v>
      </c>
    </row>
    <row r="41" spans="1:16" s="401" customFormat="1" ht="36">
      <c r="A41" s="452">
        <f t="shared" si="0"/>
        <v>38</v>
      </c>
      <c r="B41" s="387">
        <v>46028</v>
      </c>
      <c r="C41" s="388">
        <v>45993</v>
      </c>
      <c r="D41" s="389" t="s">
        <v>248</v>
      </c>
      <c r="E41" s="393" t="s">
        <v>164</v>
      </c>
      <c r="F41" s="404">
        <v>718.68</v>
      </c>
      <c r="G41" s="397" t="s">
        <v>932</v>
      </c>
      <c r="H41" s="389" t="s">
        <v>278</v>
      </c>
      <c r="I41" s="398" t="s">
        <v>632</v>
      </c>
      <c r="J41" s="399" t="s">
        <v>633</v>
      </c>
      <c r="K41" s="390" t="str">
        <f t="shared" si="2"/>
        <v>XXX527800001XX</v>
      </c>
      <c r="L41" s="391" t="s">
        <v>1996</v>
      </c>
      <c r="M41" s="398" t="s">
        <v>704</v>
      </c>
      <c r="N41" s="399">
        <v>52794929</v>
      </c>
      <c r="O41" s="399" t="s">
        <v>835</v>
      </c>
      <c r="P41" s="398" t="s">
        <v>574</v>
      </c>
    </row>
    <row r="42" spans="1:16" s="401" customFormat="1" ht="36">
      <c r="A42" s="452">
        <f t="shared" si="0"/>
        <v>39</v>
      </c>
      <c r="B42" s="387">
        <v>46028</v>
      </c>
      <c r="C42" s="388">
        <v>45993</v>
      </c>
      <c r="D42" s="389" t="s">
        <v>248</v>
      </c>
      <c r="E42" s="398" t="s">
        <v>582</v>
      </c>
      <c r="F42" s="404">
        <v>2218.71</v>
      </c>
      <c r="G42" s="397" t="s">
        <v>933</v>
      </c>
      <c r="H42" s="389" t="s">
        <v>737</v>
      </c>
      <c r="I42" s="398" t="s">
        <v>613</v>
      </c>
      <c r="J42" s="399" t="s">
        <v>773</v>
      </c>
      <c r="K42" s="390" t="str">
        <f t="shared" si="2"/>
        <v>XXX000000000XX</v>
      </c>
      <c r="L42" s="391" t="s">
        <v>1996</v>
      </c>
      <c r="M42" s="398" t="s">
        <v>704</v>
      </c>
      <c r="N42" s="399">
        <v>25518999</v>
      </c>
      <c r="O42" s="399" t="s">
        <v>841</v>
      </c>
      <c r="P42" s="398" t="s">
        <v>574</v>
      </c>
    </row>
    <row r="43" spans="1:16" s="401" customFormat="1" ht="60">
      <c r="A43" s="452">
        <f t="shared" si="0"/>
        <v>40</v>
      </c>
      <c r="B43" s="387">
        <v>46028</v>
      </c>
      <c r="C43" s="388">
        <v>45963</v>
      </c>
      <c r="D43" s="389" t="s">
        <v>248</v>
      </c>
      <c r="E43" s="398" t="s">
        <v>582</v>
      </c>
      <c r="F43" s="404">
        <v>1415</v>
      </c>
      <c r="G43" s="397" t="s">
        <v>786</v>
      </c>
      <c r="H43" s="389" t="s">
        <v>737</v>
      </c>
      <c r="I43" s="398" t="s">
        <v>614</v>
      </c>
      <c r="J43" s="399" t="s">
        <v>615</v>
      </c>
      <c r="K43" s="390" t="str">
        <f t="shared" si="2"/>
        <v>XXX470160001XX</v>
      </c>
      <c r="L43" s="391" t="s">
        <v>1996</v>
      </c>
      <c r="M43" s="398" t="s">
        <v>704</v>
      </c>
      <c r="N43" s="399">
        <v>2533</v>
      </c>
      <c r="O43" s="399" t="s">
        <v>828</v>
      </c>
      <c r="P43" s="398" t="s">
        <v>574</v>
      </c>
    </row>
    <row r="44" spans="1:16" s="401" customFormat="1" ht="36">
      <c r="A44" s="452">
        <f t="shared" si="0"/>
        <v>41</v>
      </c>
      <c r="B44" s="387">
        <v>46029</v>
      </c>
      <c r="C44" s="388">
        <v>45993</v>
      </c>
      <c r="D44" s="389" t="s">
        <v>353</v>
      </c>
      <c r="E44" s="394" t="s">
        <v>153</v>
      </c>
      <c r="F44" s="404">
        <v>112.48</v>
      </c>
      <c r="G44" s="397" t="s">
        <v>859</v>
      </c>
      <c r="H44" s="389" t="s">
        <v>280</v>
      </c>
      <c r="I44" s="394" t="s">
        <v>744</v>
      </c>
      <c r="J44" s="455">
        <v>7837375000150</v>
      </c>
      <c r="K44" s="390" t="str">
        <f t="shared" si="2"/>
        <v>XXX737500015XX</v>
      </c>
      <c r="L44" s="391" t="s">
        <v>1996</v>
      </c>
      <c r="M44" s="398" t="s">
        <v>726</v>
      </c>
      <c r="N44" s="399">
        <v>4122025</v>
      </c>
      <c r="O44" s="399" t="s">
        <v>836</v>
      </c>
      <c r="P44" s="398" t="s">
        <v>574</v>
      </c>
    </row>
    <row r="45" spans="1:16" s="401" customFormat="1" ht="36">
      <c r="A45" s="452">
        <f t="shared" si="0"/>
        <v>42</v>
      </c>
      <c r="B45" s="387">
        <v>46029</v>
      </c>
      <c r="C45" s="388">
        <v>45993</v>
      </c>
      <c r="D45" s="389" t="s">
        <v>353</v>
      </c>
      <c r="E45" s="394" t="s">
        <v>153</v>
      </c>
      <c r="F45" s="404">
        <v>304.37</v>
      </c>
      <c r="G45" s="397" t="s">
        <v>860</v>
      </c>
      <c r="H45" s="389" t="s">
        <v>280</v>
      </c>
      <c r="I45" s="394" t="s">
        <v>744</v>
      </c>
      <c r="J45" s="455">
        <v>7837375000150</v>
      </c>
      <c r="K45" s="390" t="str">
        <f t="shared" si="2"/>
        <v>XXX737500015XX</v>
      </c>
      <c r="L45" s="391" t="s">
        <v>1996</v>
      </c>
      <c r="M45" s="398" t="s">
        <v>726</v>
      </c>
      <c r="N45" s="399">
        <v>5122025</v>
      </c>
      <c r="O45" s="399" t="s">
        <v>838</v>
      </c>
      <c r="P45" s="398" t="s">
        <v>574</v>
      </c>
    </row>
    <row r="46" spans="1:16" s="401" customFormat="1" ht="36">
      <c r="A46" s="452">
        <f t="shared" si="0"/>
        <v>43</v>
      </c>
      <c r="B46" s="387">
        <v>46029</v>
      </c>
      <c r="C46" s="388">
        <v>45993</v>
      </c>
      <c r="D46" s="389" t="s">
        <v>353</v>
      </c>
      <c r="E46" s="394" t="s">
        <v>153</v>
      </c>
      <c r="F46" s="404">
        <v>108.05</v>
      </c>
      <c r="G46" s="397" t="s">
        <v>863</v>
      </c>
      <c r="H46" s="389" t="s">
        <v>280</v>
      </c>
      <c r="I46" s="394" t="s">
        <v>744</v>
      </c>
      <c r="J46" s="455">
        <v>7837375000150</v>
      </c>
      <c r="K46" s="390" t="str">
        <f t="shared" si="2"/>
        <v>XXX737500015XX</v>
      </c>
      <c r="L46" s="391" t="s">
        <v>1996</v>
      </c>
      <c r="M46" s="398" t="s">
        <v>726</v>
      </c>
      <c r="N46" s="399">
        <v>9122025</v>
      </c>
      <c r="O46" s="399" t="s">
        <v>839</v>
      </c>
      <c r="P46" s="398" t="s">
        <v>574</v>
      </c>
    </row>
    <row r="47" spans="1:16" s="401" customFormat="1" ht="36">
      <c r="A47" s="452">
        <f t="shared" si="0"/>
        <v>44</v>
      </c>
      <c r="B47" s="387">
        <v>46029</v>
      </c>
      <c r="C47" s="388">
        <v>45993</v>
      </c>
      <c r="D47" s="389" t="s">
        <v>353</v>
      </c>
      <c r="E47" s="394" t="s">
        <v>153</v>
      </c>
      <c r="F47" s="404">
        <v>3.59</v>
      </c>
      <c r="G47" s="397" t="s">
        <v>861</v>
      </c>
      <c r="H47" s="389" t="s">
        <v>280</v>
      </c>
      <c r="I47" s="394" t="s">
        <v>744</v>
      </c>
      <c r="J47" s="455">
        <v>7837375000150</v>
      </c>
      <c r="K47" s="390" t="str">
        <f t="shared" si="2"/>
        <v>XXX737500015XX</v>
      </c>
      <c r="L47" s="391" t="s">
        <v>1996</v>
      </c>
      <c r="M47" s="398" t="s">
        <v>726</v>
      </c>
      <c r="N47" s="399">
        <v>11122025</v>
      </c>
      <c r="O47" s="399" t="s">
        <v>842</v>
      </c>
      <c r="P47" s="398" t="s">
        <v>574</v>
      </c>
    </row>
    <row r="48" spans="1:16" s="401" customFormat="1" ht="36">
      <c r="A48" s="452">
        <f t="shared" si="0"/>
        <v>45</v>
      </c>
      <c r="B48" s="387">
        <v>46029</v>
      </c>
      <c r="C48" s="388">
        <v>45993</v>
      </c>
      <c r="D48" s="389" t="s">
        <v>353</v>
      </c>
      <c r="E48" s="394" t="s">
        <v>153</v>
      </c>
      <c r="F48" s="404">
        <v>416.24</v>
      </c>
      <c r="G48" s="397" t="s">
        <v>862</v>
      </c>
      <c r="H48" s="389" t="s">
        <v>280</v>
      </c>
      <c r="I48" s="394" t="s">
        <v>744</v>
      </c>
      <c r="J48" s="455">
        <v>7837375000150</v>
      </c>
      <c r="K48" s="390" t="str">
        <f t="shared" si="2"/>
        <v>XXX737500015XX</v>
      </c>
      <c r="L48" s="391" t="s">
        <v>1996</v>
      </c>
      <c r="M48" s="398" t="s">
        <v>726</v>
      </c>
      <c r="N48" s="399">
        <v>12122025</v>
      </c>
      <c r="O48" s="399" t="s">
        <v>843</v>
      </c>
      <c r="P48" s="398" t="s">
        <v>574</v>
      </c>
    </row>
    <row r="49" spans="1:16" s="401" customFormat="1" ht="36">
      <c r="A49" s="452">
        <f t="shared" si="0"/>
        <v>46</v>
      </c>
      <c r="B49" s="387">
        <v>46029</v>
      </c>
      <c r="C49" s="388">
        <v>45993</v>
      </c>
      <c r="D49" s="389" t="s">
        <v>248</v>
      </c>
      <c r="E49" s="393" t="s">
        <v>167</v>
      </c>
      <c r="F49" s="404">
        <v>139.74</v>
      </c>
      <c r="G49" s="397" t="s">
        <v>934</v>
      </c>
      <c r="H49" s="389" t="s">
        <v>278</v>
      </c>
      <c r="I49" s="398" t="s">
        <v>639</v>
      </c>
      <c r="J49" s="399" t="s">
        <v>640</v>
      </c>
      <c r="K49" s="390" t="str">
        <f t="shared" si="2"/>
        <v>XXX702290021XX</v>
      </c>
      <c r="L49" s="391" t="s">
        <v>1996</v>
      </c>
      <c r="M49" s="398" t="s">
        <v>717</v>
      </c>
      <c r="N49" s="399">
        <v>664062</v>
      </c>
      <c r="O49" s="399" t="s">
        <v>855</v>
      </c>
      <c r="P49" s="398" t="s">
        <v>574</v>
      </c>
    </row>
    <row r="50" spans="1:16" s="401" customFormat="1" ht="36">
      <c r="A50" s="452">
        <f t="shared" si="0"/>
        <v>47</v>
      </c>
      <c r="B50" s="387">
        <v>46029</v>
      </c>
      <c r="C50" s="388">
        <v>45993</v>
      </c>
      <c r="D50" s="389" t="s">
        <v>353</v>
      </c>
      <c r="E50" s="394" t="s">
        <v>153</v>
      </c>
      <c r="F50" s="404">
        <v>55929.84</v>
      </c>
      <c r="G50" s="397" t="s">
        <v>935</v>
      </c>
      <c r="H50" s="389" t="s">
        <v>280</v>
      </c>
      <c r="I50" s="394" t="s">
        <v>744</v>
      </c>
      <c r="J50" s="455">
        <v>7837375000150</v>
      </c>
      <c r="K50" s="390" t="str">
        <f t="shared" si="2"/>
        <v>XXX737500015XX</v>
      </c>
      <c r="L50" s="391" t="s">
        <v>1996</v>
      </c>
      <c r="M50" s="398" t="s">
        <v>707</v>
      </c>
      <c r="N50" s="399">
        <v>73629</v>
      </c>
      <c r="O50" s="399" t="s">
        <v>857</v>
      </c>
      <c r="P50" s="398" t="s">
        <v>574</v>
      </c>
    </row>
    <row r="51" spans="1:16" s="401" customFormat="1" ht="36">
      <c r="A51" s="452">
        <f t="shared" si="0"/>
        <v>48</v>
      </c>
      <c r="B51" s="387">
        <v>46029</v>
      </c>
      <c r="C51" s="388">
        <v>46024</v>
      </c>
      <c r="D51" s="389" t="s">
        <v>248</v>
      </c>
      <c r="E51" s="398" t="s">
        <v>609</v>
      </c>
      <c r="F51" s="404">
        <v>4189.8900000000003</v>
      </c>
      <c r="G51" s="397" t="s">
        <v>936</v>
      </c>
      <c r="H51" s="389" t="s">
        <v>278</v>
      </c>
      <c r="I51" s="398" t="s">
        <v>680</v>
      </c>
      <c r="J51" s="399" t="s">
        <v>751</v>
      </c>
      <c r="K51" s="390" t="str">
        <f t="shared" si="2"/>
        <v>XXX283160001XX</v>
      </c>
      <c r="L51" s="391" t="s">
        <v>1996</v>
      </c>
      <c r="M51" s="398" t="s">
        <v>704</v>
      </c>
      <c r="N51" s="399">
        <v>2440886</v>
      </c>
      <c r="O51" s="399" t="s">
        <v>887</v>
      </c>
      <c r="P51" s="398" t="s">
        <v>574</v>
      </c>
    </row>
    <row r="52" spans="1:16" s="401" customFormat="1" ht="48">
      <c r="A52" s="452">
        <f t="shared" si="0"/>
        <v>49</v>
      </c>
      <c r="B52" s="387">
        <v>46029</v>
      </c>
      <c r="C52" s="388">
        <v>46024</v>
      </c>
      <c r="D52" s="389" t="s">
        <v>248</v>
      </c>
      <c r="E52" s="398" t="s">
        <v>742</v>
      </c>
      <c r="F52" s="404">
        <v>221.8</v>
      </c>
      <c r="G52" s="397" t="s">
        <v>937</v>
      </c>
      <c r="H52" s="389" t="s">
        <v>278</v>
      </c>
      <c r="I52" s="398" t="s">
        <v>745</v>
      </c>
      <c r="J52" s="399" t="s">
        <v>746</v>
      </c>
      <c r="K52" s="390" t="str">
        <f t="shared" si="2"/>
        <v>XXX565960001XX</v>
      </c>
      <c r="L52" s="391" t="s">
        <v>1996</v>
      </c>
      <c r="M52" s="398" t="s">
        <v>704</v>
      </c>
      <c r="N52" s="399">
        <v>1</v>
      </c>
      <c r="O52" s="399" t="s">
        <v>886</v>
      </c>
      <c r="P52" s="398" t="s">
        <v>574</v>
      </c>
    </row>
    <row r="53" spans="1:16" s="401" customFormat="1" ht="36">
      <c r="A53" s="452">
        <f t="shared" si="0"/>
        <v>50</v>
      </c>
      <c r="B53" s="387">
        <v>46029</v>
      </c>
      <c r="C53" s="388">
        <v>46024</v>
      </c>
      <c r="D53" s="389" t="s">
        <v>248</v>
      </c>
      <c r="E53" s="398" t="s">
        <v>604</v>
      </c>
      <c r="F53" s="404">
        <v>89.83</v>
      </c>
      <c r="G53" s="397" t="s">
        <v>938</v>
      </c>
      <c r="H53" s="389" t="s">
        <v>1029</v>
      </c>
      <c r="I53" s="398" t="s">
        <v>756</v>
      </c>
      <c r="J53" s="399" t="s">
        <v>683</v>
      </c>
      <c r="K53" s="390" t="str">
        <f t="shared" si="2"/>
        <v>XXX232120001XX</v>
      </c>
      <c r="L53" s="391" t="s">
        <v>1996</v>
      </c>
      <c r="M53" s="398" t="s">
        <v>913</v>
      </c>
      <c r="N53" s="399">
        <v>22411801</v>
      </c>
      <c r="O53" s="399" t="s">
        <v>887</v>
      </c>
      <c r="P53" s="398" t="s">
        <v>574</v>
      </c>
    </row>
    <row r="54" spans="1:16" s="401" customFormat="1" ht="36">
      <c r="A54" s="452">
        <f t="shared" si="0"/>
        <v>51</v>
      </c>
      <c r="B54" s="387">
        <v>46029</v>
      </c>
      <c r="C54" s="388">
        <v>46024</v>
      </c>
      <c r="D54" s="389" t="s">
        <v>248</v>
      </c>
      <c r="E54" s="398" t="s">
        <v>604</v>
      </c>
      <c r="F54" s="404">
        <v>298.26</v>
      </c>
      <c r="G54" s="397" t="s">
        <v>938</v>
      </c>
      <c r="H54" s="389" t="s">
        <v>1029</v>
      </c>
      <c r="I54" s="398" t="s">
        <v>756</v>
      </c>
      <c r="J54" s="399" t="s">
        <v>683</v>
      </c>
      <c r="K54" s="390" t="str">
        <f t="shared" si="2"/>
        <v>XXX232120001XX</v>
      </c>
      <c r="L54" s="391" t="s">
        <v>1996</v>
      </c>
      <c r="M54" s="398" t="s">
        <v>913</v>
      </c>
      <c r="N54" s="399">
        <v>22411801</v>
      </c>
      <c r="O54" s="399" t="s">
        <v>887</v>
      </c>
      <c r="P54" s="398" t="s">
        <v>574</v>
      </c>
    </row>
    <row r="55" spans="1:16" s="401" customFormat="1" ht="36">
      <c r="A55" s="452">
        <f t="shared" si="0"/>
        <v>52</v>
      </c>
      <c r="B55" s="387">
        <v>46029</v>
      </c>
      <c r="C55" s="388">
        <v>45993</v>
      </c>
      <c r="D55" s="389" t="s">
        <v>353</v>
      </c>
      <c r="E55" s="394" t="s">
        <v>153</v>
      </c>
      <c r="F55" s="404">
        <v>298.26</v>
      </c>
      <c r="G55" s="397" t="s">
        <v>861</v>
      </c>
      <c r="H55" s="389" t="s">
        <v>280</v>
      </c>
      <c r="I55" s="394" t="s">
        <v>744</v>
      </c>
      <c r="J55" s="455">
        <v>7837375000150</v>
      </c>
      <c r="K55" s="390" t="str">
        <f t="shared" si="2"/>
        <v>XXX737500015XX</v>
      </c>
      <c r="L55" s="391" t="s">
        <v>1996</v>
      </c>
      <c r="M55" s="398" t="s">
        <v>726</v>
      </c>
      <c r="N55" s="399">
        <v>11122025</v>
      </c>
      <c r="O55" s="399" t="s">
        <v>842</v>
      </c>
      <c r="P55" s="398" t="s">
        <v>574</v>
      </c>
    </row>
    <row r="56" spans="1:16" s="401" customFormat="1" ht="36">
      <c r="A56" s="452">
        <f t="shared" si="0"/>
        <v>53</v>
      </c>
      <c r="B56" s="387">
        <v>46029</v>
      </c>
      <c r="C56" s="388">
        <v>46024</v>
      </c>
      <c r="D56" s="389" t="s">
        <v>248</v>
      </c>
      <c r="E56" s="398" t="s">
        <v>604</v>
      </c>
      <c r="F56" s="404">
        <v>416.24</v>
      </c>
      <c r="G56" s="397" t="s">
        <v>938</v>
      </c>
      <c r="H56" s="389" t="s">
        <v>1029</v>
      </c>
      <c r="I56" s="398" t="s">
        <v>756</v>
      </c>
      <c r="J56" s="399" t="s">
        <v>683</v>
      </c>
      <c r="K56" s="390" t="str">
        <f t="shared" si="2"/>
        <v>XXX232120001XX</v>
      </c>
      <c r="L56" s="391" t="s">
        <v>1996</v>
      </c>
      <c r="M56" s="398" t="s">
        <v>913</v>
      </c>
      <c r="N56" s="399">
        <v>22411801</v>
      </c>
      <c r="O56" s="399" t="s">
        <v>887</v>
      </c>
      <c r="P56" s="398" t="s">
        <v>574</v>
      </c>
    </row>
    <row r="57" spans="1:16" s="401" customFormat="1" ht="36">
      <c r="A57" s="452">
        <f t="shared" si="0"/>
        <v>54</v>
      </c>
      <c r="B57" s="387">
        <v>46029</v>
      </c>
      <c r="C57" s="388">
        <v>46024</v>
      </c>
      <c r="D57" s="389" t="s">
        <v>248</v>
      </c>
      <c r="E57" s="398" t="s">
        <v>604</v>
      </c>
      <c r="F57" s="404">
        <v>3.59</v>
      </c>
      <c r="G57" s="397" t="s">
        <v>938</v>
      </c>
      <c r="H57" s="389" t="s">
        <v>1029</v>
      </c>
      <c r="I57" s="398" t="s">
        <v>756</v>
      </c>
      <c r="J57" s="399" t="s">
        <v>683</v>
      </c>
      <c r="K57" s="390" t="str">
        <f t="shared" si="2"/>
        <v>XXX232120001XX</v>
      </c>
      <c r="L57" s="391" t="s">
        <v>1996</v>
      </c>
      <c r="M57" s="398" t="s">
        <v>913</v>
      </c>
      <c r="N57" s="399">
        <v>22411801</v>
      </c>
      <c r="O57" s="399" t="s">
        <v>887</v>
      </c>
      <c r="P57" s="398" t="s">
        <v>574</v>
      </c>
    </row>
    <row r="58" spans="1:16" s="401" customFormat="1" ht="36">
      <c r="A58" s="452">
        <f t="shared" si="0"/>
        <v>55</v>
      </c>
      <c r="B58" s="387">
        <v>46029</v>
      </c>
      <c r="C58" s="388">
        <v>46024</v>
      </c>
      <c r="D58" s="389" t="s">
        <v>248</v>
      </c>
      <c r="E58" s="398" t="s">
        <v>604</v>
      </c>
      <c r="F58" s="404">
        <v>112.48</v>
      </c>
      <c r="G58" s="397" t="s">
        <v>938</v>
      </c>
      <c r="H58" s="389" t="s">
        <v>1029</v>
      </c>
      <c r="I58" s="398" t="s">
        <v>756</v>
      </c>
      <c r="J58" s="399" t="s">
        <v>683</v>
      </c>
      <c r="K58" s="390" t="str">
        <f t="shared" si="2"/>
        <v>XXX232120001XX</v>
      </c>
      <c r="L58" s="391" t="s">
        <v>1996</v>
      </c>
      <c r="M58" s="398" t="s">
        <v>913</v>
      </c>
      <c r="N58" s="399">
        <v>22411801</v>
      </c>
      <c r="O58" s="399" t="s">
        <v>887</v>
      </c>
      <c r="P58" s="398" t="s">
        <v>574</v>
      </c>
    </row>
    <row r="59" spans="1:16" s="401" customFormat="1" ht="36">
      <c r="A59" s="452">
        <f t="shared" si="0"/>
        <v>56</v>
      </c>
      <c r="B59" s="387">
        <v>46029</v>
      </c>
      <c r="C59" s="388">
        <v>46024</v>
      </c>
      <c r="D59" s="389" t="s">
        <v>248</v>
      </c>
      <c r="E59" s="398" t="s">
        <v>604</v>
      </c>
      <c r="F59" s="404">
        <v>304.37</v>
      </c>
      <c r="G59" s="397" t="s">
        <v>938</v>
      </c>
      <c r="H59" s="389" t="s">
        <v>1029</v>
      </c>
      <c r="I59" s="398" t="s">
        <v>756</v>
      </c>
      <c r="J59" s="399" t="s">
        <v>683</v>
      </c>
      <c r="K59" s="390" t="str">
        <f t="shared" si="2"/>
        <v>XXX232120001XX</v>
      </c>
      <c r="L59" s="391" t="s">
        <v>1996</v>
      </c>
      <c r="M59" s="398" t="s">
        <v>913</v>
      </c>
      <c r="N59" s="399">
        <v>22411801</v>
      </c>
      <c r="O59" s="399" t="s">
        <v>887</v>
      </c>
      <c r="P59" s="398" t="s">
        <v>574</v>
      </c>
    </row>
    <row r="60" spans="1:16" s="401" customFormat="1" ht="36">
      <c r="A60" s="452">
        <f t="shared" si="0"/>
        <v>57</v>
      </c>
      <c r="B60" s="387">
        <v>46029</v>
      </c>
      <c r="C60" s="388">
        <v>46024</v>
      </c>
      <c r="D60" s="389" t="s">
        <v>248</v>
      </c>
      <c r="E60" s="398" t="s">
        <v>604</v>
      </c>
      <c r="F60" s="404">
        <v>108.05</v>
      </c>
      <c r="G60" s="397" t="s">
        <v>938</v>
      </c>
      <c r="H60" s="389" t="s">
        <v>1029</v>
      </c>
      <c r="I60" s="398" t="s">
        <v>756</v>
      </c>
      <c r="J60" s="399" t="s">
        <v>683</v>
      </c>
      <c r="K60" s="390" t="str">
        <f t="shared" si="2"/>
        <v>XXX232120001XX</v>
      </c>
      <c r="L60" s="391" t="s">
        <v>1996</v>
      </c>
      <c r="M60" s="398" t="s">
        <v>913</v>
      </c>
      <c r="N60" s="399">
        <v>22411801</v>
      </c>
      <c r="O60" s="399" t="s">
        <v>887</v>
      </c>
      <c r="P60" s="398" t="s">
        <v>574</v>
      </c>
    </row>
    <row r="61" spans="1:16" s="401" customFormat="1" ht="36">
      <c r="A61" s="452">
        <f t="shared" si="0"/>
        <v>58</v>
      </c>
      <c r="B61" s="387">
        <v>46029</v>
      </c>
      <c r="C61" s="388">
        <v>46024</v>
      </c>
      <c r="D61" s="389" t="s">
        <v>248</v>
      </c>
      <c r="E61" s="398" t="s">
        <v>604</v>
      </c>
      <c r="F61" s="404">
        <v>7.86</v>
      </c>
      <c r="G61" s="397" t="s">
        <v>938</v>
      </c>
      <c r="H61" s="389" t="s">
        <v>1029</v>
      </c>
      <c r="I61" s="398" t="s">
        <v>756</v>
      </c>
      <c r="J61" s="399" t="s">
        <v>683</v>
      </c>
      <c r="K61" s="390" t="str">
        <f t="shared" si="2"/>
        <v>XXX232120001XX</v>
      </c>
      <c r="L61" s="391" t="s">
        <v>1996</v>
      </c>
      <c r="M61" s="398" t="s">
        <v>913</v>
      </c>
      <c r="N61" s="399">
        <v>22411801</v>
      </c>
      <c r="O61" s="399" t="s">
        <v>887</v>
      </c>
      <c r="P61" s="398" t="s">
        <v>574</v>
      </c>
    </row>
    <row r="62" spans="1:16" s="401" customFormat="1" ht="36">
      <c r="A62" s="452">
        <f t="shared" si="0"/>
        <v>59</v>
      </c>
      <c r="B62" s="387">
        <v>46029</v>
      </c>
      <c r="C62" s="388">
        <v>45993</v>
      </c>
      <c r="D62" s="389" t="s">
        <v>353</v>
      </c>
      <c r="E62" s="394" t="s">
        <v>153</v>
      </c>
      <c r="F62" s="404">
        <v>7.86</v>
      </c>
      <c r="G62" s="397" t="s">
        <v>865</v>
      </c>
      <c r="H62" s="389" t="s">
        <v>280</v>
      </c>
      <c r="I62" s="394" t="s">
        <v>744</v>
      </c>
      <c r="J62" s="455">
        <v>7837375000150</v>
      </c>
      <c r="K62" s="390" t="str">
        <f t="shared" si="2"/>
        <v>XXX737500015XX</v>
      </c>
      <c r="L62" s="391" t="s">
        <v>1996</v>
      </c>
      <c r="M62" s="398" t="s">
        <v>726</v>
      </c>
      <c r="N62" s="399">
        <v>11122025</v>
      </c>
      <c r="O62" s="399" t="s">
        <v>842</v>
      </c>
      <c r="P62" s="398" t="s">
        <v>574</v>
      </c>
    </row>
    <row r="63" spans="1:16" s="401" customFormat="1" ht="36">
      <c r="A63" s="452">
        <f t="shared" si="0"/>
        <v>60</v>
      </c>
      <c r="B63" s="387">
        <v>46029</v>
      </c>
      <c r="C63" s="388">
        <v>45993</v>
      </c>
      <c r="D63" s="389" t="s">
        <v>353</v>
      </c>
      <c r="E63" s="394" t="s">
        <v>153</v>
      </c>
      <c r="F63" s="404">
        <v>89.83</v>
      </c>
      <c r="G63" s="397" t="s">
        <v>866</v>
      </c>
      <c r="H63" s="389" t="s">
        <v>280</v>
      </c>
      <c r="I63" s="394" t="s">
        <v>744</v>
      </c>
      <c r="J63" s="455">
        <v>7837375000150</v>
      </c>
      <c r="K63" s="390" t="str">
        <f t="shared" si="2"/>
        <v>XXX737500015XX</v>
      </c>
      <c r="L63" s="391" t="s">
        <v>1996</v>
      </c>
      <c r="M63" s="398" t="s">
        <v>726</v>
      </c>
      <c r="N63" s="399">
        <v>18122025</v>
      </c>
      <c r="O63" s="399" t="s">
        <v>850</v>
      </c>
      <c r="P63" s="398" t="s">
        <v>574</v>
      </c>
    </row>
    <row r="64" spans="1:16" s="401" customFormat="1" ht="36">
      <c r="A64" s="452">
        <f t="shared" si="0"/>
        <v>61</v>
      </c>
      <c r="B64" s="387">
        <v>46030</v>
      </c>
      <c r="C64" s="388">
        <v>45537</v>
      </c>
      <c r="D64" s="389" t="s">
        <v>248</v>
      </c>
      <c r="E64" s="395" t="s">
        <v>477</v>
      </c>
      <c r="F64" s="404">
        <v>8.58</v>
      </c>
      <c r="G64" s="397" t="s">
        <v>1903</v>
      </c>
      <c r="H64" s="392" t="s">
        <v>736</v>
      </c>
      <c r="I64" s="398" t="s">
        <v>668</v>
      </c>
      <c r="J64" s="399" t="s">
        <v>669</v>
      </c>
      <c r="K64" s="390" t="str">
        <f t="shared" si="2"/>
        <v>XXX077460001XX</v>
      </c>
      <c r="L64" s="391" t="s">
        <v>1996</v>
      </c>
      <c r="M64" s="398" t="s">
        <v>722</v>
      </c>
      <c r="N64" s="399">
        <v>2024138</v>
      </c>
      <c r="O64" s="399" t="s">
        <v>888</v>
      </c>
      <c r="P64" s="398" t="s">
        <v>574</v>
      </c>
    </row>
    <row r="65" spans="1:16" s="401" customFormat="1" ht="36">
      <c r="A65" s="452">
        <f t="shared" si="0"/>
        <v>62</v>
      </c>
      <c r="B65" s="387">
        <v>46030</v>
      </c>
      <c r="C65" s="388">
        <v>45537</v>
      </c>
      <c r="D65" s="389" t="s">
        <v>248</v>
      </c>
      <c r="E65" s="395" t="s">
        <v>477</v>
      </c>
      <c r="F65" s="404">
        <v>8.57</v>
      </c>
      <c r="G65" s="397" t="s">
        <v>1904</v>
      </c>
      <c r="H65" s="392" t="s">
        <v>736</v>
      </c>
      <c r="I65" s="398" t="s">
        <v>668</v>
      </c>
      <c r="J65" s="399" t="s">
        <v>669</v>
      </c>
      <c r="K65" s="390" t="str">
        <f t="shared" si="2"/>
        <v>XXX077460001XX</v>
      </c>
      <c r="L65" s="391" t="s">
        <v>1996</v>
      </c>
      <c r="M65" s="398" t="s">
        <v>722</v>
      </c>
      <c r="N65" s="399">
        <v>2024137</v>
      </c>
      <c r="O65" s="399" t="s">
        <v>888</v>
      </c>
      <c r="P65" s="398" t="s">
        <v>574</v>
      </c>
    </row>
    <row r="66" spans="1:16" s="401" customFormat="1" ht="36">
      <c r="A66" s="452">
        <f t="shared" si="0"/>
        <v>63</v>
      </c>
      <c r="B66" s="387">
        <v>46030</v>
      </c>
      <c r="C66" s="388">
        <v>45475</v>
      </c>
      <c r="D66" s="389" t="s">
        <v>248</v>
      </c>
      <c r="E66" s="398" t="s">
        <v>595</v>
      </c>
      <c r="F66" s="404">
        <v>279.95</v>
      </c>
      <c r="G66" s="397" t="s">
        <v>1873</v>
      </c>
      <c r="H66" s="389" t="s">
        <v>278</v>
      </c>
      <c r="I66" s="398" t="s">
        <v>668</v>
      </c>
      <c r="J66" s="399" t="s">
        <v>669</v>
      </c>
      <c r="K66" s="390" t="str">
        <f t="shared" si="2"/>
        <v>XXX077460001XX</v>
      </c>
      <c r="L66" s="391" t="s">
        <v>1996</v>
      </c>
      <c r="M66" s="398" t="s">
        <v>721</v>
      </c>
      <c r="N66" s="399">
        <v>202437462</v>
      </c>
      <c r="O66" s="399" t="s">
        <v>889</v>
      </c>
      <c r="P66" s="398" t="s">
        <v>574</v>
      </c>
    </row>
    <row r="67" spans="1:16" s="401" customFormat="1" ht="36">
      <c r="A67" s="452">
        <f t="shared" si="0"/>
        <v>64</v>
      </c>
      <c r="B67" s="387">
        <v>46030</v>
      </c>
      <c r="C67" s="388">
        <v>45598</v>
      </c>
      <c r="D67" s="389" t="s">
        <v>248</v>
      </c>
      <c r="E67" s="398" t="s">
        <v>780</v>
      </c>
      <c r="F67" s="404">
        <v>31.26</v>
      </c>
      <c r="G67" s="397" t="s">
        <v>1873</v>
      </c>
      <c r="H67" s="392" t="s">
        <v>736</v>
      </c>
      <c r="I67" s="398" t="s">
        <v>668</v>
      </c>
      <c r="J67" s="399" t="s">
        <v>669</v>
      </c>
      <c r="K67" s="390" t="str">
        <f t="shared" si="2"/>
        <v>XXX077460001XX</v>
      </c>
      <c r="L67" s="391" t="s">
        <v>1996</v>
      </c>
      <c r="M67" s="398" t="s">
        <v>721</v>
      </c>
      <c r="N67" s="399">
        <v>1662</v>
      </c>
      <c r="O67" s="399" t="s">
        <v>890</v>
      </c>
      <c r="P67" s="398" t="s">
        <v>574</v>
      </c>
    </row>
    <row r="68" spans="1:16" s="401" customFormat="1" ht="36">
      <c r="A68" s="452">
        <f t="shared" ref="A68:A131" si="3">IF(B68="","",ROW()-ROW($A$3))</f>
        <v>65</v>
      </c>
      <c r="B68" s="387">
        <v>46030</v>
      </c>
      <c r="C68" s="388">
        <v>45598</v>
      </c>
      <c r="D68" s="389" t="s">
        <v>248</v>
      </c>
      <c r="E68" s="398" t="s">
        <v>780</v>
      </c>
      <c r="F68" s="404">
        <v>43.77</v>
      </c>
      <c r="G68" s="397" t="s">
        <v>1873</v>
      </c>
      <c r="H68" s="392" t="s">
        <v>736</v>
      </c>
      <c r="I68" s="398" t="s">
        <v>668</v>
      </c>
      <c r="J68" s="399" t="s">
        <v>669</v>
      </c>
      <c r="K68" s="390" t="str">
        <f t="shared" si="2"/>
        <v>XXX077460001XX</v>
      </c>
      <c r="L68" s="391" t="s">
        <v>1996</v>
      </c>
      <c r="M68" s="398" t="s">
        <v>721</v>
      </c>
      <c r="N68" s="399">
        <v>1664</v>
      </c>
      <c r="O68" s="399" t="s">
        <v>890</v>
      </c>
      <c r="P68" s="398" t="s">
        <v>574</v>
      </c>
    </row>
    <row r="69" spans="1:16" s="401" customFormat="1" ht="36">
      <c r="A69" s="452">
        <f t="shared" si="3"/>
        <v>66</v>
      </c>
      <c r="B69" s="387">
        <v>46030</v>
      </c>
      <c r="C69" s="388">
        <v>45598</v>
      </c>
      <c r="D69" s="389" t="s">
        <v>248</v>
      </c>
      <c r="E69" s="398" t="s">
        <v>780</v>
      </c>
      <c r="F69" s="404">
        <v>31.26</v>
      </c>
      <c r="G69" s="397" t="s">
        <v>1873</v>
      </c>
      <c r="H69" s="392" t="s">
        <v>736</v>
      </c>
      <c r="I69" s="398" t="s">
        <v>668</v>
      </c>
      <c r="J69" s="399" t="s">
        <v>669</v>
      </c>
      <c r="K69" s="390" t="str">
        <f t="shared" si="2"/>
        <v>XXX077460001XX</v>
      </c>
      <c r="L69" s="391" t="s">
        <v>1996</v>
      </c>
      <c r="M69" s="398" t="s">
        <v>721</v>
      </c>
      <c r="N69" s="399">
        <v>1666</v>
      </c>
      <c r="O69" s="399" t="s">
        <v>890</v>
      </c>
      <c r="P69" s="398" t="s">
        <v>574</v>
      </c>
    </row>
    <row r="70" spans="1:16" s="401" customFormat="1" ht="36">
      <c r="A70" s="452">
        <f t="shared" si="3"/>
        <v>67</v>
      </c>
      <c r="B70" s="387">
        <v>46030</v>
      </c>
      <c r="C70" s="388">
        <v>45598</v>
      </c>
      <c r="D70" s="389" t="s">
        <v>248</v>
      </c>
      <c r="E70" s="398" t="s">
        <v>780</v>
      </c>
      <c r="F70" s="404">
        <v>31.26</v>
      </c>
      <c r="G70" s="397" t="s">
        <v>1873</v>
      </c>
      <c r="H70" s="392" t="s">
        <v>736</v>
      </c>
      <c r="I70" s="398" t="s">
        <v>668</v>
      </c>
      <c r="J70" s="399" t="s">
        <v>669</v>
      </c>
      <c r="K70" s="390" t="str">
        <f t="shared" si="2"/>
        <v>XXX077460001XX</v>
      </c>
      <c r="L70" s="391" t="s">
        <v>1996</v>
      </c>
      <c r="M70" s="398" t="s">
        <v>721</v>
      </c>
      <c r="N70" s="399">
        <v>1682</v>
      </c>
      <c r="O70" s="399" t="s">
        <v>891</v>
      </c>
      <c r="P70" s="398" t="s">
        <v>574</v>
      </c>
    </row>
    <row r="71" spans="1:16" s="401" customFormat="1" ht="36">
      <c r="A71" s="452">
        <f t="shared" si="3"/>
        <v>68</v>
      </c>
      <c r="B71" s="387">
        <v>46030</v>
      </c>
      <c r="C71" s="388">
        <v>45598</v>
      </c>
      <c r="D71" s="389" t="s">
        <v>248</v>
      </c>
      <c r="E71" s="398" t="s">
        <v>595</v>
      </c>
      <c r="F71" s="404">
        <v>272.88</v>
      </c>
      <c r="G71" s="397" t="s">
        <v>1873</v>
      </c>
      <c r="H71" s="389" t="s">
        <v>278</v>
      </c>
      <c r="I71" s="398" t="s">
        <v>668</v>
      </c>
      <c r="J71" s="399" t="s">
        <v>669</v>
      </c>
      <c r="K71" s="390" t="str">
        <f t="shared" si="2"/>
        <v>XXX077460001XX</v>
      </c>
      <c r="L71" s="391" t="s">
        <v>1996</v>
      </c>
      <c r="M71" s="398" t="s">
        <v>721</v>
      </c>
      <c r="N71" s="399">
        <v>202460712</v>
      </c>
      <c r="O71" s="399" t="s">
        <v>580</v>
      </c>
      <c r="P71" s="398" t="s">
        <v>574</v>
      </c>
    </row>
    <row r="72" spans="1:16" s="401" customFormat="1" ht="36">
      <c r="A72" s="452">
        <f t="shared" si="3"/>
        <v>69</v>
      </c>
      <c r="B72" s="387">
        <v>46030</v>
      </c>
      <c r="C72" s="388">
        <v>45598</v>
      </c>
      <c r="D72" s="389" t="s">
        <v>248</v>
      </c>
      <c r="E72" s="395" t="s">
        <v>455</v>
      </c>
      <c r="F72" s="404">
        <v>3252.74</v>
      </c>
      <c r="G72" s="397" t="s">
        <v>1873</v>
      </c>
      <c r="H72" s="389" t="s">
        <v>738</v>
      </c>
      <c r="I72" s="398" t="s">
        <v>668</v>
      </c>
      <c r="J72" s="399" t="s">
        <v>669</v>
      </c>
      <c r="K72" s="390" t="str">
        <f t="shared" si="2"/>
        <v>XXX077460001XX</v>
      </c>
      <c r="L72" s="391" t="s">
        <v>1996</v>
      </c>
      <c r="M72" s="398" t="s">
        <v>721</v>
      </c>
      <c r="N72" s="399">
        <v>18576</v>
      </c>
      <c r="O72" s="399" t="s">
        <v>892</v>
      </c>
      <c r="P72" s="398" t="s">
        <v>574</v>
      </c>
    </row>
    <row r="73" spans="1:16" s="401" customFormat="1" ht="81" customHeight="1">
      <c r="A73" s="452">
        <f t="shared" si="3"/>
        <v>70</v>
      </c>
      <c r="B73" s="387">
        <v>46030</v>
      </c>
      <c r="C73" s="388">
        <v>45598</v>
      </c>
      <c r="D73" s="389" t="s">
        <v>248</v>
      </c>
      <c r="E73" s="395" t="s">
        <v>477</v>
      </c>
      <c r="F73" s="404">
        <v>5756.75</v>
      </c>
      <c r="G73" s="397" t="s">
        <v>1874</v>
      </c>
      <c r="H73" s="389" t="s">
        <v>738</v>
      </c>
      <c r="I73" s="398" t="s">
        <v>668</v>
      </c>
      <c r="J73" s="399" t="s">
        <v>669</v>
      </c>
      <c r="K73" s="390" t="str">
        <f t="shared" si="2"/>
        <v>XXX077460001XX</v>
      </c>
      <c r="L73" s="391" t="s">
        <v>1996</v>
      </c>
      <c r="M73" s="398" t="s">
        <v>721</v>
      </c>
      <c r="N73" s="399">
        <v>2024630</v>
      </c>
      <c r="O73" s="399" t="s">
        <v>893</v>
      </c>
      <c r="P73" s="398" t="s">
        <v>574</v>
      </c>
    </row>
    <row r="74" spans="1:16" s="401" customFormat="1" ht="36">
      <c r="A74" s="452">
        <f t="shared" si="3"/>
        <v>71</v>
      </c>
      <c r="B74" s="387">
        <v>46030</v>
      </c>
      <c r="C74" s="388">
        <v>45690</v>
      </c>
      <c r="D74" s="389" t="s">
        <v>248</v>
      </c>
      <c r="E74" s="398" t="s">
        <v>602</v>
      </c>
      <c r="F74" s="404">
        <v>168.16</v>
      </c>
      <c r="G74" s="397" t="s">
        <v>1873</v>
      </c>
      <c r="H74" s="389" t="s">
        <v>278</v>
      </c>
      <c r="I74" s="398" t="s">
        <v>668</v>
      </c>
      <c r="J74" s="399" t="s">
        <v>669</v>
      </c>
      <c r="K74" s="390" t="str">
        <f t="shared" si="2"/>
        <v>XXX077460001XX</v>
      </c>
      <c r="L74" s="391" t="s">
        <v>1996</v>
      </c>
      <c r="M74" s="398" t="s">
        <v>721</v>
      </c>
      <c r="N74" s="399">
        <v>202595</v>
      </c>
      <c r="O74" s="399" t="s">
        <v>741</v>
      </c>
      <c r="P74" s="398" t="s">
        <v>574</v>
      </c>
    </row>
    <row r="75" spans="1:16" s="401" customFormat="1" ht="60">
      <c r="A75" s="452">
        <f t="shared" si="3"/>
        <v>72</v>
      </c>
      <c r="B75" s="387">
        <v>46030</v>
      </c>
      <c r="C75" s="388">
        <v>45779</v>
      </c>
      <c r="D75" s="389" t="s">
        <v>248</v>
      </c>
      <c r="E75" s="398" t="s">
        <v>598</v>
      </c>
      <c r="F75" s="404">
        <v>36.53</v>
      </c>
      <c r="G75" s="397" t="s">
        <v>1905</v>
      </c>
      <c r="H75" s="392" t="s">
        <v>736</v>
      </c>
      <c r="I75" s="398" t="s">
        <v>668</v>
      </c>
      <c r="J75" s="399" t="s">
        <v>669</v>
      </c>
      <c r="K75" s="390" t="str">
        <f t="shared" si="2"/>
        <v>XXX077460001XX</v>
      </c>
      <c r="L75" s="391" t="s">
        <v>1996</v>
      </c>
      <c r="M75" s="398" t="s">
        <v>722</v>
      </c>
      <c r="N75" s="399">
        <v>20259</v>
      </c>
      <c r="O75" s="399" t="s">
        <v>781</v>
      </c>
      <c r="P75" s="398" t="s">
        <v>574</v>
      </c>
    </row>
    <row r="76" spans="1:16" s="401" customFormat="1" ht="36">
      <c r="A76" s="452">
        <f t="shared" si="3"/>
        <v>73</v>
      </c>
      <c r="B76" s="387">
        <v>46030</v>
      </c>
      <c r="C76" s="388">
        <v>45810</v>
      </c>
      <c r="D76" s="389" t="s">
        <v>248</v>
      </c>
      <c r="E76" s="393" t="s">
        <v>164</v>
      </c>
      <c r="F76" s="404">
        <v>16.579999999999998</v>
      </c>
      <c r="G76" s="397" t="s">
        <v>1906</v>
      </c>
      <c r="H76" s="389" t="s">
        <v>278</v>
      </c>
      <c r="I76" s="398" t="s">
        <v>668</v>
      </c>
      <c r="J76" s="399" t="s">
        <v>669</v>
      </c>
      <c r="K76" s="390" t="str">
        <f t="shared" si="2"/>
        <v>XXX077460001XX</v>
      </c>
      <c r="L76" s="391" t="s">
        <v>1996</v>
      </c>
      <c r="M76" s="398" t="s">
        <v>722</v>
      </c>
      <c r="N76" s="399">
        <v>7272</v>
      </c>
      <c r="O76" s="399" t="s">
        <v>787</v>
      </c>
      <c r="P76" s="398" t="s">
        <v>574</v>
      </c>
    </row>
    <row r="77" spans="1:16" s="401" customFormat="1" ht="36">
      <c r="A77" s="452">
        <f t="shared" si="3"/>
        <v>74</v>
      </c>
      <c r="B77" s="387">
        <v>46030</v>
      </c>
      <c r="C77" s="388">
        <v>45840</v>
      </c>
      <c r="D77" s="389" t="s">
        <v>248</v>
      </c>
      <c r="E77" s="395" t="s">
        <v>477</v>
      </c>
      <c r="F77" s="404">
        <v>857.75</v>
      </c>
      <c r="G77" s="397" t="s">
        <v>1888</v>
      </c>
      <c r="H77" s="389" t="s">
        <v>738</v>
      </c>
      <c r="I77" s="398" t="s">
        <v>672</v>
      </c>
      <c r="J77" s="399" t="s">
        <v>673</v>
      </c>
      <c r="K77" s="390" t="str">
        <f t="shared" si="2"/>
        <v>XXX944600058XX</v>
      </c>
      <c r="L77" s="391" t="s">
        <v>1996</v>
      </c>
      <c r="M77" s="398" t="s">
        <v>723</v>
      </c>
      <c r="N77" s="399">
        <v>2025187</v>
      </c>
      <c r="O77" s="399" t="s">
        <v>801</v>
      </c>
      <c r="P77" s="398" t="s">
        <v>574</v>
      </c>
    </row>
    <row r="78" spans="1:16" s="401" customFormat="1" ht="36">
      <c r="A78" s="452">
        <f t="shared" si="3"/>
        <v>75</v>
      </c>
      <c r="B78" s="387">
        <v>46030</v>
      </c>
      <c r="C78" s="388">
        <v>45840</v>
      </c>
      <c r="D78" s="389" t="s">
        <v>166</v>
      </c>
      <c r="E78" s="394" t="s">
        <v>163</v>
      </c>
      <c r="F78" s="404">
        <v>13.45</v>
      </c>
      <c r="G78" s="397" t="s">
        <v>1907</v>
      </c>
      <c r="H78" s="389" t="s">
        <v>166</v>
      </c>
      <c r="I78" s="398" t="s">
        <v>668</v>
      </c>
      <c r="J78" s="399" t="s">
        <v>669</v>
      </c>
      <c r="K78" s="390" t="str">
        <f t="shared" si="2"/>
        <v>XXX077460001XX</v>
      </c>
      <c r="L78" s="391" t="s">
        <v>1996</v>
      </c>
      <c r="M78" s="398" t="s">
        <v>722</v>
      </c>
      <c r="N78" s="399">
        <v>202517718</v>
      </c>
      <c r="O78" s="399" t="s">
        <v>809</v>
      </c>
      <c r="P78" s="398" t="s">
        <v>574</v>
      </c>
    </row>
    <row r="79" spans="1:16" s="401" customFormat="1" ht="36">
      <c r="A79" s="452">
        <f t="shared" si="3"/>
        <v>76</v>
      </c>
      <c r="B79" s="387">
        <v>46030</v>
      </c>
      <c r="C79" s="388">
        <v>45871</v>
      </c>
      <c r="D79" s="389" t="s">
        <v>248</v>
      </c>
      <c r="E79" s="393" t="s">
        <v>164</v>
      </c>
      <c r="F79" s="404">
        <v>24.89</v>
      </c>
      <c r="G79" s="397" t="s">
        <v>1906</v>
      </c>
      <c r="H79" s="389" t="s">
        <v>278</v>
      </c>
      <c r="I79" s="398" t="s">
        <v>668</v>
      </c>
      <c r="J79" s="399" t="s">
        <v>669</v>
      </c>
      <c r="K79" s="390" t="str">
        <f t="shared" si="2"/>
        <v>XXX077460001XX</v>
      </c>
      <c r="L79" s="391" t="s">
        <v>1996</v>
      </c>
      <c r="M79" s="398" t="s">
        <v>722</v>
      </c>
      <c r="N79" s="399">
        <v>7406</v>
      </c>
      <c r="O79" s="399" t="s">
        <v>810</v>
      </c>
      <c r="P79" s="398" t="s">
        <v>574</v>
      </c>
    </row>
    <row r="80" spans="1:16" s="401" customFormat="1" ht="36">
      <c r="A80" s="452">
        <f t="shared" si="3"/>
        <v>77</v>
      </c>
      <c r="B80" s="387">
        <v>46030</v>
      </c>
      <c r="C80" s="388">
        <v>45902</v>
      </c>
      <c r="D80" s="389" t="s">
        <v>248</v>
      </c>
      <c r="E80" s="398" t="s">
        <v>757</v>
      </c>
      <c r="F80" s="404">
        <v>709.85</v>
      </c>
      <c r="G80" s="397" t="s">
        <v>1889</v>
      </c>
      <c r="H80" s="392" t="s">
        <v>736</v>
      </c>
      <c r="I80" s="398" t="s">
        <v>672</v>
      </c>
      <c r="J80" s="399" t="s">
        <v>673</v>
      </c>
      <c r="K80" s="390" t="str">
        <f t="shared" si="2"/>
        <v>XXX944600058XX</v>
      </c>
      <c r="L80" s="391" t="s">
        <v>1996</v>
      </c>
      <c r="M80" s="398" t="s">
        <v>723</v>
      </c>
      <c r="N80" s="399">
        <v>1756</v>
      </c>
      <c r="O80" s="399" t="s">
        <v>812</v>
      </c>
      <c r="P80" s="398" t="s">
        <v>574</v>
      </c>
    </row>
    <row r="81" spans="1:16" s="401" customFormat="1" ht="36">
      <c r="A81" s="452">
        <f t="shared" si="3"/>
        <v>78</v>
      </c>
      <c r="B81" s="387">
        <v>46030</v>
      </c>
      <c r="C81" s="388">
        <v>45840</v>
      </c>
      <c r="D81" s="389" t="s">
        <v>166</v>
      </c>
      <c r="E81" s="394" t="s">
        <v>163</v>
      </c>
      <c r="F81" s="404">
        <v>36.200000000000003</v>
      </c>
      <c r="G81" s="397" t="s">
        <v>1873</v>
      </c>
      <c r="H81" s="389" t="s">
        <v>166</v>
      </c>
      <c r="I81" s="398" t="s">
        <v>668</v>
      </c>
      <c r="J81" s="399" t="s">
        <v>669</v>
      </c>
      <c r="K81" s="390" t="str">
        <f t="shared" si="2"/>
        <v>XXX077460001XX</v>
      </c>
      <c r="L81" s="391" t="s">
        <v>1996</v>
      </c>
      <c r="M81" s="398" t="s">
        <v>721</v>
      </c>
      <c r="N81" s="399">
        <v>202515367</v>
      </c>
      <c r="O81" s="399" t="s">
        <v>800</v>
      </c>
      <c r="P81" s="398" t="s">
        <v>574</v>
      </c>
    </row>
    <row r="82" spans="1:16" s="401" customFormat="1" ht="36">
      <c r="A82" s="452">
        <f t="shared" si="3"/>
        <v>79</v>
      </c>
      <c r="B82" s="387">
        <v>46030</v>
      </c>
      <c r="C82" s="388">
        <v>45840</v>
      </c>
      <c r="D82" s="389" t="s">
        <v>166</v>
      </c>
      <c r="E82" s="394" t="s">
        <v>163</v>
      </c>
      <c r="F82" s="404">
        <v>42.29</v>
      </c>
      <c r="G82" s="397" t="s">
        <v>1873</v>
      </c>
      <c r="H82" s="389" t="s">
        <v>166</v>
      </c>
      <c r="I82" s="398" t="s">
        <v>668</v>
      </c>
      <c r="J82" s="399" t="s">
        <v>669</v>
      </c>
      <c r="K82" s="390" t="str">
        <f t="shared" si="2"/>
        <v>XXX077460001XX</v>
      </c>
      <c r="L82" s="391" t="s">
        <v>1996</v>
      </c>
      <c r="M82" s="398" t="s">
        <v>721</v>
      </c>
      <c r="N82" s="399">
        <v>202515365</v>
      </c>
      <c r="O82" s="399" t="s">
        <v>800</v>
      </c>
      <c r="P82" s="398" t="s">
        <v>574</v>
      </c>
    </row>
    <row r="83" spans="1:16" s="401" customFormat="1" ht="36">
      <c r="A83" s="452">
        <f t="shared" si="3"/>
        <v>80</v>
      </c>
      <c r="B83" s="387">
        <v>46030</v>
      </c>
      <c r="C83" s="388">
        <v>45840</v>
      </c>
      <c r="D83" s="389" t="s">
        <v>248</v>
      </c>
      <c r="E83" s="393" t="s">
        <v>164</v>
      </c>
      <c r="F83" s="404">
        <v>97.82</v>
      </c>
      <c r="G83" s="397" t="s">
        <v>1873</v>
      </c>
      <c r="H83" s="389" t="s">
        <v>278</v>
      </c>
      <c r="I83" s="398" t="s">
        <v>668</v>
      </c>
      <c r="J83" s="399" t="s">
        <v>669</v>
      </c>
      <c r="K83" s="390" t="str">
        <f t="shared" si="2"/>
        <v>XXX077460001XX</v>
      </c>
      <c r="L83" s="391" t="s">
        <v>1996</v>
      </c>
      <c r="M83" s="398" t="s">
        <v>721</v>
      </c>
      <c r="N83" s="399">
        <v>3945523</v>
      </c>
      <c r="O83" s="399" t="s">
        <v>800</v>
      </c>
      <c r="P83" s="398" t="s">
        <v>574</v>
      </c>
    </row>
    <row r="84" spans="1:16" s="401" customFormat="1" ht="36">
      <c r="A84" s="452">
        <f t="shared" si="3"/>
        <v>81</v>
      </c>
      <c r="B84" s="387">
        <v>46030</v>
      </c>
      <c r="C84" s="388">
        <v>45993</v>
      </c>
      <c r="D84" s="389" t="s">
        <v>248</v>
      </c>
      <c r="E84" s="398" t="s">
        <v>592</v>
      </c>
      <c r="F84" s="404">
        <v>167.74</v>
      </c>
      <c r="G84" s="397" t="s">
        <v>1782</v>
      </c>
      <c r="H84" s="389" t="s">
        <v>737</v>
      </c>
      <c r="I84" s="398" t="s">
        <v>635</v>
      </c>
      <c r="J84" s="399" t="s">
        <v>636</v>
      </c>
      <c r="K84" s="390" t="str">
        <f t="shared" si="2"/>
        <v>XXX153830001XX</v>
      </c>
      <c r="L84" s="391" t="s">
        <v>1996</v>
      </c>
      <c r="M84" s="398" t="s">
        <v>712</v>
      </c>
      <c r="N84" s="399">
        <v>5</v>
      </c>
      <c r="O84" s="399" t="s">
        <v>841</v>
      </c>
      <c r="P84" s="398" t="s">
        <v>574</v>
      </c>
    </row>
    <row r="85" spans="1:16" s="401" customFormat="1" ht="36">
      <c r="A85" s="452">
        <f t="shared" si="3"/>
        <v>82</v>
      </c>
      <c r="B85" s="387">
        <v>46030</v>
      </c>
      <c r="C85" s="388">
        <v>45993</v>
      </c>
      <c r="D85" s="389" t="s">
        <v>248</v>
      </c>
      <c r="E85" s="398" t="s">
        <v>591</v>
      </c>
      <c r="F85" s="404">
        <v>1.46</v>
      </c>
      <c r="G85" s="397" t="s">
        <v>1783</v>
      </c>
      <c r="H85" s="392" t="s">
        <v>736</v>
      </c>
      <c r="I85" s="398" t="s">
        <v>635</v>
      </c>
      <c r="J85" s="399" t="s">
        <v>636</v>
      </c>
      <c r="K85" s="390" t="str">
        <f t="shared" si="2"/>
        <v>XXX153830001XX</v>
      </c>
      <c r="L85" s="391" t="s">
        <v>1996</v>
      </c>
      <c r="M85" s="398" t="s">
        <v>712</v>
      </c>
      <c r="N85" s="399">
        <v>48</v>
      </c>
      <c r="O85" s="399" t="s">
        <v>835</v>
      </c>
      <c r="P85" s="398" t="s">
        <v>574</v>
      </c>
    </row>
    <row r="86" spans="1:16" s="401" customFormat="1" ht="96">
      <c r="A86" s="452">
        <f t="shared" si="3"/>
        <v>83</v>
      </c>
      <c r="B86" s="387">
        <v>46030</v>
      </c>
      <c r="C86" s="388">
        <v>45993</v>
      </c>
      <c r="D86" s="389" t="s">
        <v>248</v>
      </c>
      <c r="E86" s="398" t="s">
        <v>600</v>
      </c>
      <c r="F86" s="404">
        <v>252.66</v>
      </c>
      <c r="G86" s="397" t="s">
        <v>1784</v>
      </c>
      <c r="H86" s="389" t="s">
        <v>737</v>
      </c>
      <c r="I86" s="398" t="s">
        <v>635</v>
      </c>
      <c r="J86" s="399" t="s">
        <v>636</v>
      </c>
      <c r="K86" s="390" t="str">
        <f t="shared" si="2"/>
        <v>XXX153830001XX</v>
      </c>
      <c r="L86" s="391" t="s">
        <v>1996</v>
      </c>
      <c r="M86" s="398" t="s">
        <v>712</v>
      </c>
      <c r="N86" s="399">
        <v>9</v>
      </c>
      <c r="O86" s="399" t="s">
        <v>841</v>
      </c>
      <c r="P86" s="398" t="s">
        <v>574</v>
      </c>
    </row>
    <row r="87" spans="1:16" s="401" customFormat="1" ht="36">
      <c r="A87" s="452">
        <f t="shared" si="3"/>
        <v>84</v>
      </c>
      <c r="B87" s="387">
        <v>46030</v>
      </c>
      <c r="C87" s="388">
        <v>45993</v>
      </c>
      <c r="D87" s="389" t="s">
        <v>248</v>
      </c>
      <c r="E87" s="398" t="s">
        <v>592</v>
      </c>
      <c r="F87" s="404">
        <v>52.8</v>
      </c>
      <c r="G87" s="397" t="s">
        <v>1785</v>
      </c>
      <c r="H87" s="389" t="s">
        <v>737</v>
      </c>
      <c r="I87" s="398" t="s">
        <v>635</v>
      </c>
      <c r="J87" s="399" t="s">
        <v>636</v>
      </c>
      <c r="K87" s="390" t="str">
        <f t="shared" si="2"/>
        <v>XXX153830001XX</v>
      </c>
      <c r="L87" s="391" t="s">
        <v>1996</v>
      </c>
      <c r="M87" s="398" t="s">
        <v>712</v>
      </c>
      <c r="N87" s="399">
        <v>11</v>
      </c>
      <c r="O87" s="399" t="s">
        <v>841</v>
      </c>
      <c r="P87" s="398" t="s">
        <v>574</v>
      </c>
    </row>
    <row r="88" spans="1:16" s="401" customFormat="1" ht="48">
      <c r="A88" s="452">
        <f t="shared" si="3"/>
        <v>85</v>
      </c>
      <c r="B88" s="387">
        <v>46030</v>
      </c>
      <c r="C88" s="388">
        <v>45993</v>
      </c>
      <c r="D88" s="389" t="s">
        <v>248</v>
      </c>
      <c r="E88" s="398" t="s">
        <v>592</v>
      </c>
      <c r="F88" s="404">
        <v>18.02</v>
      </c>
      <c r="G88" s="397" t="s">
        <v>1786</v>
      </c>
      <c r="H88" s="389" t="s">
        <v>737</v>
      </c>
      <c r="I88" s="398" t="s">
        <v>635</v>
      </c>
      <c r="J88" s="399" t="s">
        <v>636</v>
      </c>
      <c r="K88" s="390" t="str">
        <f t="shared" si="2"/>
        <v>XXX153830001XX</v>
      </c>
      <c r="L88" s="391" t="s">
        <v>1996</v>
      </c>
      <c r="M88" s="398" t="s">
        <v>712</v>
      </c>
      <c r="N88" s="399">
        <v>109</v>
      </c>
      <c r="O88" s="399" t="s">
        <v>838</v>
      </c>
      <c r="P88" s="398" t="s">
        <v>574</v>
      </c>
    </row>
    <row r="89" spans="1:16" s="401" customFormat="1" ht="36">
      <c r="A89" s="452">
        <f t="shared" si="3"/>
        <v>86</v>
      </c>
      <c r="B89" s="387">
        <v>46030</v>
      </c>
      <c r="C89" s="388">
        <v>45993</v>
      </c>
      <c r="D89" s="389" t="s">
        <v>248</v>
      </c>
      <c r="E89" s="398" t="s">
        <v>597</v>
      </c>
      <c r="F89" s="404">
        <v>24.95</v>
      </c>
      <c r="G89" s="397" t="s">
        <v>1787</v>
      </c>
      <c r="H89" s="389" t="s">
        <v>278</v>
      </c>
      <c r="I89" s="398" t="s">
        <v>635</v>
      </c>
      <c r="J89" s="399" t="s">
        <v>636</v>
      </c>
      <c r="K89" s="390" t="str">
        <f t="shared" si="2"/>
        <v>XXX153830001XX</v>
      </c>
      <c r="L89" s="391" t="s">
        <v>1996</v>
      </c>
      <c r="M89" s="398" t="s">
        <v>712</v>
      </c>
      <c r="N89" s="399">
        <v>61</v>
      </c>
      <c r="O89" s="399" t="s">
        <v>840</v>
      </c>
      <c r="P89" s="398" t="s">
        <v>574</v>
      </c>
    </row>
    <row r="90" spans="1:16" s="401" customFormat="1" ht="36">
      <c r="A90" s="452">
        <f t="shared" si="3"/>
        <v>87</v>
      </c>
      <c r="B90" s="387">
        <v>46030</v>
      </c>
      <c r="C90" s="388">
        <v>45993</v>
      </c>
      <c r="D90" s="389" t="s">
        <v>248</v>
      </c>
      <c r="E90" s="395" t="s">
        <v>171</v>
      </c>
      <c r="F90" s="404">
        <v>18.8</v>
      </c>
      <c r="G90" s="397" t="s">
        <v>1788</v>
      </c>
      <c r="H90" s="389" t="s">
        <v>278</v>
      </c>
      <c r="I90" s="398" t="s">
        <v>635</v>
      </c>
      <c r="J90" s="399" t="s">
        <v>636</v>
      </c>
      <c r="K90" s="390" t="str">
        <f t="shared" si="2"/>
        <v>XXX153830001XX</v>
      </c>
      <c r="L90" s="391" t="s">
        <v>1996</v>
      </c>
      <c r="M90" s="398" t="s">
        <v>712</v>
      </c>
      <c r="N90" s="399">
        <v>72</v>
      </c>
      <c r="O90" s="399" t="s">
        <v>840</v>
      </c>
      <c r="P90" s="398" t="s">
        <v>574</v>
      </c>
    </row>
    <row r="91" spans="1:16" s="401" customFormat="1" ht="36">
      <c r="A91" s="452">
        <f t="shared" si="3"/>
        <v>88</v>
      </c>
      <c r="B91" s="387">
        <v>46030</v>
      </c>
      <c r="C91" s="388">
        <v>45993</v>
      </c>
      <c r="D91" s="389" t="s">
        <v>248</v>
      </c>
      <c r="E91" s="398" t="s">
        <v>591</v>
      </c>
      <c r="F91" s="404">
        <v>3.04</v>
      </c>
      <c r="G91" s="397" t="s">
        <v>1789</v>
      </c>
      <c r="H91" s="392" t="s">
        <v>736</v>
      </c>
      <c r="I91" s="398" t="s">
        <v>635</v>
      </c>
      <c r="J91" s="399" t="s">
        <v>636</v>
      </c>
      <c r="K91" s="390" t="str">
        <f t="shared" si="2"/>
        <v>XXX153830001XX</v>
      </c>
      <c r="L91" s="391" t="s">
        <v>1996</v>
      </c>
      <c r="M91" s="398" t="s">
        <v>712</v>
      </c>
      <c r="N91" s="399">
        <v>59</v>
      </c>
      <c r="O91" s="399" t="s">
        <v>840</v>
      </c>
      <c r="P91" s="398" t="s">
        <v>574</v>
      </c>
    </row>
    <row r="92" spans="1:16" s="401" customFormat="1" ht="48">
      <c r="A92" s="452">
        <f t="shared" si="3"/>
        <v>89</v>
      </c>
      <c r="B92" s="387">
        <v>46030</v>
      </c>
      <c r="C92" s="388">
        <v>45993</v>
      </c>
      <c r="D92" s="389" t="s">
        <v>248</v>
      </c>
      <c r="E92" s="398" t="s">
        <v>802</v>
      </c>
      <c r="F92" s="404">
        <v>55.5</v>
      </c>
      <c r="G92" s="397" t="s">
        <v>1790</v>
      </c>
      <c r="H92" s="389" t="s">
        <v>737</v>
      </c>
      <c r="I92" s="398" t="s">
        <v>635</v>
      </c>
      <c r="J92" s="399" t="s">
        <v>636</v>
      </c>
      <c r="K92" s="390" t="str">
        <f t="shared" si="2"/>
        <v>XXX153830001XX</v>
      </c>
      <c r="L92" s="391" t="s">
        <v>1996</v>
      </c>
      <c r="M92" s="398" t="s">
        <v>712</v>
      </c>
      <c r="N92" s="399">
        <v>63</v>
      </c>
      <c r="O92" s="399" t="s">
        <v>842</v>
      </c>
      <c r="P92" s="398" t="s">
        <v>574</v>
      </c>
    </row>
    <row r="93" spans="1:16" s="401" customFormat="1" ht="36">
      <c r="A93" s="452">
        <f t="shared" si="3"/>
        <v>90</v>
      </c>
      <c r="B93" s="387">
        <v>46030</v>
      </c>
      <c r="C93" s="388">
        <v>45993</v>
      </c>
      <c r="D93" s="389" t="s">
        <v>248</v>
      </c>
      <c r="E93" s="395" t="s">
        <v>78</v>
      </c>
      <c r="F93" s="404">
        <v>79.86</v>
      </c>
      <c r="G93" s="397" t="s">
        <v>1791</v>
      </c>
      <c r="H93" s="389" t="s">
        <v>278</v>
      </c>
      <c r="I93" s="398" t="s">
        <v>635</v>
      </c>
      <c r="J93" s="399" t="s">
        <v>636</v>
      </c>
      <c r="K93" s="390" t="str">
        <f t="shared" ref="K93:K140" si="4">IF(J93="","",IF(LEN(J93)&gt;14,IF(ISBLANK(J93),"",J93),REPLACE(REPLACE(J93,1,3,"XXX"),13,2,"XX")))</f>
        <v>XXX153830001XX</v>
      </c>
      <c r="L93" s="391" t="s">
        <v>1996</v>
      </c>
      <c r="M93" s="398" t="s">
        <v>712</v>
      </c>
      <c r="N93" s="399">
        <v>141</v>
      </c>
      <c r="O93" s="399" t="s">
        <v>842</v>
      </c>
      <c r="P93" s="398" t="s">
        <v>574</v>
      </c>
    </row>
    <row r="94" spans="1:16" s="401" customFormat="1" ht="96">
      <c r="A94" s="452">
        <f t="shared" si="3"/>
        <v>91</v>
      </c>
      <c r="B94" s="387">
        <v>46030</v>
      </c>
      <c r="C94" s="388">
        <v>45993</v>
      </c>
      <c r="D94" s="389" t="s">
        <v>248</v>
      </c>
      <c r="E94" s="398" t="s">
        <v>600</v>
      </c>
      <c r="F94" s="404">
        <v>32.29</v>
      </c>
      <c r="G94" s="397" t="s">
        <v>1784</v>
      </c>
      <c r="H94" s="389" t="s">
        <v>737</v>
      </c>
      <c r="I94" s="398" t="s">
        <v>635</v>
      </c>
      <c r="J94" s="399" t="s">
        <v>636</v>
      </c>
      <c r="K94" s="390" t="str">
        <f t="shared" si="4"/>
        <v>XXX153830001XX</v>
      </c>
      <c r="L94" s="391" t="s">
        <v>1996</v>
      </c>
      <c r="M94" s="398" t="s">
        <v>712</v>
      </c>
      <c r="N94" s="399">
        <v>14</v>
      </c>
      <c r="O94" s="399" t="s">
        <v>844</v>
      </c>
      <c r="P94" s="398" t="s">
        <v>574</v>
      </c>
    </row>
    <row r="95" spans="1:16" s="401" customFormat="1" ht="48">
      <c r="A95" s="452">
        <f t="shared" si="3"/>
        <v>92</v>
      </c>
      <c r="B95" s="387">
        <v>46030</v>
      </c>
      <c r="C95" s="388">
        <v>45993</v>
      </c>
      <c r="D95" s="389" t="s">
        <v>248</v>
      </c>
      <c r="E95" s="398" t="s">
        <v>592</v>
      </c>
      <c r="F95" s="404">
        <v>1438.4</v>
      </c>
      <c r="G95" s="397" t="s">
        <v>1792</v>
      </c>
      <c r="H95" s="389" t="s">
        <v>737</v>
      </c>
      <c r="I95" s="398" t="s">
        <v>635</v>
      </c>
      <c r="J95" s="399" t="s">
        <v>636</v>
      </c>
      <c r="K95" s="390" t="str">
        <f t="shared" si="4"/>
        <v>XXX153830001XX</v>
      </c>
      <c r="L95" s="391" t="s">
        <v>1996</v>
      </c>
      <c r="M95" s="398" t="s">
        <v>712</v>
      </c>
      <c r="N95" s="399">
        <v>168</v>
      </c>
      <c r="O95" s="399" t="s">
        <v>843</v>
      </c>
      <c r="P95" s="398" t="s">
        <v>574</v>
      </c>
    </row>
    <row r="96" spans="1:16" s="401" customFormat="1" ht="36">
      <c r="A96" s="452">
        <f t="shared" si="3"/>
        <v>93</v>
      </c>
      <c r="B96" s="387">
        <v>46030</v>
      </c>
      <c r="C96" s="388">
        <v>45993</v>
      </c>
      <c r="D96" s="389" t="s">
        <v>248</v>
      </c>
      <c r="E96" s="398" t="s">
        <v>743</v>
      </c>
      <c r="F96" s="404">
        <v>485.34</v>
      </c>
      <c r="G96" s="397" t="s">
        <v>1793</v>
      </c>
      <c r="H96" s="389" t="s">
        <v>737</v>
      </c>
      <c r="I96" s="398" t="s">
        <v>635</v>
      </c>
      <c r="J96" s="399" t="s">
        <v>636</v>
      </c>
      <c r="K96" s="390" t="str">
        <f t="shared" si="4"/>
        <v>XXX153830001XX</v>
      </c>
      <c r="L96" s="391" t="s">
        <v>1996</v>
      </c>
      <c r="M96" s="398" t="s">
        <v>712</v>
      </c>
      <c r="N96" s="399">
        <v>25</v>
      </c>
      <c r="O96" s="399" t="s">
        <v>843</v>
      </c>
      <c r="P96" s="398" t="s">
        <v>574</v>
      </c>
    </row>
    <row r="97" spans="1:16" s="401" customFormat="1" ht="72">
      <c r="A97" s="452">
        <f t="shared" si="3"/>
        <v>94</v>
      </c>
      <c r="B97" s="387">
        <v>46030</v>
      </c>
      <c r="C97" s="388">
        <v>45993</v>
      </c>
      <c r="D97" s="389" t="s">
        <v>248</v>
      </c>
      <c r="E97" s="395" t="s">
        <v>78</v>
      </c>
      <c r="F97" s="404">
        <v>25.2</v>
      </c>
      <c r="G97" s="397" t="s">
        <v>1794</v>
      </c>
      <c r="H97" s="389" t="s">
        <v>1029</v>
      </c>
      <c r="I97" s="398" t="s">
        <v>635</v>
      </c>
      <c r="J97" s="399" t="s">
        <v>636</v>
      </c>
      <c r="K97" s="390" t="str">
        <f t="shared" si="4"/>
        <v>XXX153830001XX</v>
      </c>
      <c r="L97" s="391" t="s">
        <v>1996</v>
      </c>
      <c r="M97" s="398" t="s">
        <v>712</v>
      </c>
      <c r="N97" s="399">
        <v>92</v>
      </c>
      <c r="O97" s="399" t="s">
        <v>849</v>
      </c>
      <c r="P97" s="398" t="s">
        <v>574</v>
      </c>
    </row>
    <row r="98" spans="1:16" s="401" customFormat="1" ht="36">
      <c r="A98" s="452">
        <f t="shared" si="3"/>
        <v>95</v>
      </c>
      <c r="B98" s="387">
        <v>46030</v>
      </c>
      <c r="C98" s="388">
        <v>45993</v>
      </c>
      <c r="D98" s="389" t="s">
        <v>248</v>
      </c>
      <c r="E98" s="398" t="s">
        <v>592</v>
      </c>
      <c r="F98" s="404">
        <v>19.5</v>
      </c>
      <c r="G98" s="397" t="s">
        <v>1795</v>
      </c>
      <c r="H98" s="389" t="s">
        <v>737</v>
      </c>
      <c r="I98" s="398" t="s">
        <v>635</v>
      </c>
      <c r="J98" s="399" t="s">
        <v>636</v>
      </c>
      <c r="K98" s="390" t="str">
        <f t="shared" si="4"/>
        <v>XXX153830001XX</v>
      </c>
      <c r="L98" s="391" t="s">
        <v>1996</v>
      </c>
      <c r="M98" s="398" t="s">
        <v>712</v>
      </c>
      <c r="N98" s="399">
        <v>7</v>
      </c>
      <c r="O98" s="399" t="s">
        <v>843</v>
      </c>
      <c r="P98" s="398" t="s">
        <v>574</v>
      </c>
    </row>
    <row r="99" spans="1:16" s="401" customFormat="1" ht="60">
      <c r="A99" s="452">
        <f t="shared" si="3"/>
        <v>96</v>
      </c>
      <c r="B99" s="387">
        <v>46030</v>
      </c>
      <c r="C99" s="388">
        <v>45993</v>
      </c>
      <c r="D99" s="389" t="s">
        <v>248</v>
      </c>
      <c r="E99" s="398" t="s">
        <v>594</v>
      </c>
      <c r="F99" s="404">
        <v>60</v>
      </c>
      <c r="G99" s="397" t="s">
        <v>1796</v>
      </c>
      <c r="H99" s="392" t="s">
        <v>736</v>
      </c>
      <c r="I99" s="398" t="s">
        <v>635</v>
      </c>
      <c r="J99" s="399" t="s">
        <v>636</v>
      </c>
      <c r="K99" s="390" t="str">
        <f t="shared" si="4"/>
        <v>XXX153830001XX</v>
      </c>
      <c r="L99" s="391" t="s">
        <v>1996</v>
      </c>
      <c r="M99" s="398" t="s">
        <v>712</v>
      </c>
      <c r="N99" s="399">
        <v>58</v>
      </c>
      <c r="O99" s="399" t="s">
        <v>844</v>
      </c>
      <c r="P99" s="398" t="s">
        <v>574</v>
      </c>
    </row>
    <row r="100" spans="1:16" s="401" customFormat="1" ht="36">
      <c r="A100" s="452">
        <f t="shared" si="3"/>
        <v>97</v>
      </c>
      <c r="B100" s="387">
        <v>46030</v>
      </c>
      <c r="C100" s="388">
        <v>45993</v>
      </c>
      <c r="D100" s="389" t="s">
        <v>248</v>
      </c>
      <c r="E100" s="398" t="s">
        <v>595</v>
      </c>
      <c r="F100" s="404">
        <v>5.72</v>
      </c>
      <c r="G100" s="397" t="s">
        <v>1797</v>
      </c>
      <c r="H100" s="389" t="s">
        <v>278</v>
      </c>
      <c r="I100" s="398" t="s">
        <v>635</v>
      </c>
      <c r="J100" s="399" t="s">
        <v>636</v>
      </c>
      <c r="K100" s="390" t="str">
        <f t="shared" si="4"/>
        <v>XXX153830001XX</v>
      </c>
      <c r="L100" s="391" t="s">
        <v>1996</v>
      </c>
      <c r="M100" s="398" t="s">
        <v>712</v>
      </c>
      <c r="N100" s="399">
        <v>22</v>
      </c>
      <c r="O100" s="399" t="s">
        <v>846</v>
      </c>
      <c r="P100" s="398" t="s">
        <v>574</v>
      </c>
    </row>
    <row r="101" spans="1:16" s="401" customFormat="1" ht="36">
      <c r="A101" s="452">
        <f t="shared" si="3"/>
        <v>98</v>
      </c>
      <c r="B101" s="387">
        <v>46030</v>
      </c>
      <c r="C101" s="388">
        <v>45993</v>
      </c>
      <c r="D101" s="389" t="s">
        <v>248</v>
      </c>
      <c r="E101" s="398" t="s">
        <v>599</v>
      </c>
      <c r="F101" s="404">
        <v>11.52</v>
      </c>
      <c r="G101" s="397" t="s">
        <v>1798</v>
      </c>
      <c r="H101" s="392" t="s">
        <v>736</v>
      </c>
      <c r="I101" s="398" t="s">
        <v>635</v>
      </c>
      <c r="J101" s="399" t="s">
        <v>636</v>
      </c>
      <c r="K101" s="390" t="str">
        <f t="shared" si="4"/>
        <v>XXX153830001XX</v>
      </c>
      <c r="L101" s="391" t="s">
        <v>1996</v>
      </c>
      <c r="M101" s="398" t="s">
        <v>712</v>
      </c>
      <c r="N101" s="399">
        <v>22</v>
      </c>
      <c r="O101" s="399" t="s">
        <v>846</v>
      </c>
      <c r="P101" s="398" t="s">
        <v>574</v>
      </c>
    </row>
    <row r="102" spans="1:16" s="401" customFormat="1" ht="36">
      <c r="A102" s="452">
        <f t="shared" si="3"/>
        <v>99</v>
      </c>
      <c r="B102" s="387">
        <v>46030</v>
      </c>
      <c r="C102" s="388">
        <v>45993</v>
      </c>
      <c r="D102" s="389" t="s">
        <v>248</v>
      </c>
      <c r="E102" s="398" t="s">
        <v>597</v>
      </c>
      <c r="F102" s="404">
        <v>31.5</v>
      </c>
      <c r="G102" s="397" t="s">
        <v>1799</v>
      </c>
      <c r="H102" s="389" t="s">
        <v>278</v>
      </c>
      <c r="I102" s="398" t="s">
        <v>635</v>
      </c>
      <c r="J102" s="399" t="s">
        <v>636</v>
      </c>
      <c r="K102" s="390" t="str">
        <f t="shared" si="4"/>
        <v>XXX153830001XX</v>
      </c>
      <c r="L102" s="391" t="s">
        <v>1996</v>
      </c>
      <c r="M102" s="398" t="s">
        <v>712</v>
      </c>
      <c r="N102" s="399">
        <v>74</v>
      </c>
      <c r="O102" s="399" t="s">
        <v>844</v>
      </c>
      <c r="P102" s="398" t="s">
        <v>574</v>
      </c>
    </row>
    <row r="103" spans="1:16" s="401" customFormat="1" ht="36">
      <c r="A103" s="452">
        <f t="shared" si="3"/>
        <v>100</v>
      </c>
      <c r="B103" s="387">
        <v>46030</v>
      </c>
      <c r="C103" s="388">
        <v>45993</v>
      </c>
      <c r="D103" s="389" t="s">
        <v>248</v>
      </c>
      <c r="E103" s="398" t="s">
        <v>592</v>
      </c>
      <c r="F103" s="404">
        <v>0.75</v>
      </c>
      <c r="G103" s="397" t="s">
        <v>1800</v>
      </c>
      <c r="H103" s="389" t="s">
        <v>737</v>
      </c>
      <c r="I103" s="398" t="s">
        <v>635</v>
      </c>
      <c r="J103" s="399" t="s">
        <v>636</v>
      </c>
      <c r="K103" s="390" t="str">
        <f t="shared" si="4"/>
        <v>XXX153830001XX</v>
      </c>
      <c r="L103" s="391" t="s">
        <v>1996</v>
      </c>
      <c r="M103" s="398" t="s">
        <v>712</v>
      </c>
      <c r="N103" s="399">
        <v>11765</v>
      </c>
      <c r="O103" s="399" t="s">
        <v>850</v>
      </c>
      <c r="P103" s="398" t="s">
        <v>574</v>
      </c>
    </row>
    <row r="104" spans="1:16" s="401" customFormat="1" ht="60">
      <c r="A104" s="452">
        <f t="shared" si="3"/>
        <v>101</v>
      </c>
      <c r="B104" s="387">
        <v>46030</v>
      </c>
      <c r="C104" s="388">
        <v>45993</v>
      </c>
      <c r="D104" s="389" t="s">
        <v>248</v>
      </c>
      <c r="E104" s="398" t="s">
        <v>595</v>
      </c>
      <c r="F104" s="404">
        <v>2.5</v>
      </c>
      <c r="G104" s="397" t="s">
        <v>1801</v>
      </c>
      <c r="H104" s="389" t="s">
        <v>278</v>
      </c>
      <c r="I104" s="398" t="s">
        <v>635</v>
      </c>
      <c r="J104" s="399" t="s">
        <v>636</v>
      </c>
      <c r="K104" s="390" t="str">
        <f t="shared" si="4"/>
        <v>XXX153830001XX</v>
      </c>
      <c r="L104" s="391" t="s">
        <v>1996</v>
      </c>
      <c r="M104" s="398" t="s">
        <v>712</v>
      </c>
      <c r="N104" s="399">
        <v>330</v>
      </c>
      <c r="O104" s="399" t="s">
        <v>845</v>
      </c>
      <c r="P104" s="398" t="s">
        <v>574</v>
      </c>
    </row>
    <row r="105" spans="1:16" s="401" customFormat="1" ht="48">
      <c r="A105" s="452">
        <f t="shared" si="3"/>
        <v>102</v>
      </c>
      <c r="B105" s="387">
        <v>46030</v>
      </c>
      <c r="C105" s="388">
        <v>45993</v>
      </c>
      <c r="D105" s="389" t="s">
        <v>248</v>
      </c>
      <c r="E105" s="398" t="s">
        <v>592</v>
      </c>
      <c r="F105" s="404">
        <v>0.9</v>
      </c>
      <c r="G105" s="397" t="s">
        <v>1802</v>
      </c>
      <c r="H105" s="389" t="s">
        <v>737</v>
      </c>
      <c r="I105" s="398" t="s">
        <v>635</v>
      </c>
      <c r="J105" s="399" t="s">
        <v>636</v>
      </c>
      <c r="K105" s="390" t="str">
        <f t="shared" si="4"/>
        <v>XXX153830001XX</v>
      </c>
      <c r="L105" s="391" t="s">
        <v>1996</v>
      </c>
      <c r="M105" s="398" t="s">
        <v>712</v>
      </c>
      <c r="N105" s="399">
        <v>191</v>
      </c>
      <c r="O105" s="399" t="s">
        <v>852</v>
      </c>
      <c r="P105" s="398" t="s">
        <v>574</v>
      </c>
    </row>
    <row r="106" spans="1:16" s="401" customFormat="1" ht="48">
      <c r="A106" s="452">
        <f t="shared" si="3"/>
        <v>103</v>
      </c>
      <c r="B106" s="387">
        <v>46030</v>
      </c>
      <c r="C106" s="388">
        <v>45993</v>
      </c>
      <c r="D106" s="389" t="s">
        <v>248</v>
      </c>
      <c r="E106" s="398" t="s">
        <v>592</v>
      </c>
      <c r="F106" s="404">
        <v>1.58</v>
      </c>
      <c r="G106" s="397" t="s">
        <v>1803</v>
      </c>
      <c r="H106" s="389" t="s">
        <v>737</v>
      </c>
      <c r="I106" s="398" t="s">
        <v>635</v>
      </c>
      <c r="J106" s="399" t="s">
        <v>636</v>
      </c>
      <c r="K106" s="390" t="str">
        <f t="shared" si="4"/>
        <v>XXX153830001XX</v>
      </c>
      <c r="L106" s="391" t="s">
        <v>1996</v>
      </c>
      <c r="M106" s="398" t="s">
        <v>712</v>
      </c>
      <c r="N106" s="399">
        <v>192</v>
      </c>
      <c r="O106" s="399" t="s">
        <v>852</v>
      </c>
      <c r="P106" s="398" t="s">
        <v>574</v>
      </c>
    </row>
    <row r="107" spans="1:16" s="401" customFormat="1" ht="36">
      <c r="A107" s="452">
        <f t="shared" si="3"/>
        <v>104</v>
      </c>
      <c r="B107" s="387">
        <v>46030</v>
      </c>
      <c r="C107" s="388">
        <v>45993</v>
      </c>
      <c r="D107" s="389" t="s">
        <v>248</v>
      </c>
      <c r="E107" s="398" t="s">
        <v>592</v>
      </c>
      <c r="F107" s="404">
        <v>12.45</v>
      </c>
      <c r="G107" s="397" t="s">
        <v>1804</v>
      </c>
      <c r="H107" s="389" t="s">
        <v>737</v>
      </c>
      <c r="I107" s="398" t="s">
        <v>635</v>
      </c>
      <c r="J107" s="399" t="s">
        <v>636</v>
      </c>
      <c r="K107" s="390" t="str">
        <f t="shared" si="4"/>
        <v>XXX153830001XX</v>
      </c>
      <c r="L107" s="391" t="s">
        <v>1996</v>
      </c>
      <c r="M107" s="398" t="s">
        <v>712</v>
      </c>
      <c r="N107" s="399">
        <v>5</v>
      </c>
      <c r="O107" s="399" t="s">
        <v>842</v>
      </c>
      <c r="P107" s="398" t="s">
        <v>574</v>
      </c>
    </row>
    <row r="108" spans="1:16" s="401" customFormat="1" ht="36">
      <c r="A108" s="452">
        <f t="shared" si="3"/>
        <v>105</v>
      </c>
      <c r="B108" s="387">
        <v>46030</v>
      </c>
      <c r="C108" s="388">
        <v>45963</v>
      </c>
      <c r="D108" s="389" t="s">
        <v>166</v>
      </c>
      <c r="E108" s="394" t="s">
        <v>163</v>
      </c>
      <c r="F108" s="404">
        <v>20.69</v>
      </c>
      <c r="G108" s="397" t="s">
        <v>1805</v>
      </c>
      <c r="H108" s="389" t="s">
        <v>166</v>
      </c>
      <c r="I108" s="398" t="s">
        <v>635</v>
      </c>
      <c r="J108" s="399" t="s">
        <v>636</v>
      </c>
      <c r="K108" s="390" t="str">
        <f t="shared" si="4"/>
        <v>XXX153830001XX</v>
      </c>
      <c r="L108" s="391" t="s">
        <v>1996</v>
      </c>
      <c r="M108" s="398" t="s">
        <v>712</v>
      </c>
      <c r="N108" s="399">
        <v>2220</v>
      </c>
      <c r="O108" s="399" t="s">
        <v>846</v>
      </c>
      <c r="P108" s="398" t="s">
        <v>574</v>
      </c>
    </row>
    <row r="109" spans="1:16" s="401" customFormat="1" ht="36">
      <c r="A109" s="452">
        <f t="shared" si="3"/>
        <v>106</v>
      </c>
      <c r="B109" s="387">
        <v>46030</v>
      </c>
      <c r="C109" s="388">
        <v>45963</v>
      </c>
      <c r="D109" s="389" t="s">
        <v>166</v>
      </c>
      <c r="E109" s="394" t="s">
        <v>163</v>
      </c>
      <c r="F109" s="404">
        <v>14.76</v>
      </c>
      <c r="G109" s="397" t="s">
        <v>1805</v>
      </c>
      <c r="H109" s="389" t="s">
        <v>166</v>
      </c>
      <c r="I109" s="398" t="s">
        <v>635</v>
      </c>
      <c r="J109" s="399" t="s">
        <v>636</v>
      </c>
      <c r="K109" s="390" t="str">
        <f t="shared" si="4"/>
        <v>XXX153830001XX</v>
      </c>
      <c r="L109" s="391" t="s">
        <v>1996</v>
      </c>
      <c r="M109" s="398" t="s">
        <v>712</v>
      </c>
      <c r="N109" s="399">
        <v>2221</v>
      </c>
      <c r="O109" s="399" t="s">
        <v>846</v>
      </c>
      <c r="P109" s="398" t="s">
        <v>574</v>
      </c>
    </row>
    <row r="110" spans="1:16" s="401" customFormat="1" ht="36">
      <c r="A110" s="452">
        <f t="shared" si="3"/>
        <v>107</v>
      </c>
      <c r="B110" s="387">
        <v>46030</v>
      </c>
      <c r="C110" s="388">
        <v>45993</v>
      </c>
      <c r="D110" s="389" t="s">
        <v>248</v>
      </c>
      <c r="E110" s="398" t="s">
        <v>591</v>
      </c>
      <c r="F110" s="404">
        <v>2.17</v>
      </c>
      <c r="G110" s="397" t="s">
        <v>1789</v>
      </c>
      <c r="H110" s="392" t="s">
        <v>736</v>
      </c>
      <c r="I110" s="398" t="s">
        <v>635</v>
      </c>
      <c r="J110" s="399" t="s">
        <v>636</v>
      </c>
      <c r="K110" s="390" t="str">
        <f t="shared" si="4"/>
        <v>XXX153830001XX</v>
      </c>
      <c r="L110" s="391" t="s">
        <v>1996</v>
      </c>
      <c r="M110" s="398" t="s">
        <v>712</v>
      </c>
      <c r="N110" s="399">
        <v>79</v>
      </c>
      <c r="O110" s="399" t="s">
        <v>852</v>
      </c>
      <c r="P110" s="398" t="s">
        <v>574</v>
      </c>
    </row>
    <row r="111" spans="1:16" s="401" customFormat="1" ht="36">
      <c r="A111" s="452">
        <f t="shared" si="3"/>
        <v>108</v>
      </c>
      <c r="B111" s="387">
        <v>46030</v>
      </c>
      <c r="C111" s="388">
        <v>45993</v>
      </c>
      <c r="D111" s="389" t="s">
        <v>166</v>
      </c>
      <c r="E111" s="398" t="s">
        <v>584</v>
      </c>
      <c r="F111" s="404">
        <v>0.68</v>
      </c>
      <c r="G111" s="397" t="s">
        <v>1806</v>
      </c>
      <c r="H111" s="389" t="s">
        <v>166</v>
      </c>
      <c r="I111" s="398" t="s">
        <v>635</v>
      </c>
      <c r="J111" s="399" t="s">
        <v>636</v>
      </c>
      <c r="K111" s="390" t="str">
        <f t="shared" si="4"/>
        <v>XXX153830001XX</v>
      </c>
      <c r="L111" s="391" t="s">
        <v>1996</v>
      </c>
      <c r="M111" s="398" t="s">
        <v>712</v>
      </c>
      <c r="N111" s="399">
        <v>16583</v>
      </c>
      <c r="O111" s="399" t="s">
        <v>856</v>
      </c>
      <c r="P111" s="398" t="s">
        <v>574</v>
      </c>
    </row>
    <row r="112" spans="1:16" s="401" customFormat="1" ht="36">
      <c r="A112" s="452">
        <f t="shared" si="3"/>
        <v>109</v>
      </c>
      <c r="B112" s="387">
        <v>46030</v>
      </c>
      <c r="C112" s="388">
        <v>45993</v>
      </c>
      <c r="D112" s="389" t="s">
        <v>166</v>
      </c>
      <c r="E112" s="398" t="s">
        <v>584</v>
      </c>
      <c r="F112" s="404">
        <v>1.96</v>
      </c>
      <c r="G112" s="397" t="s">
        <v>1807</v>
      </c>
      <c r="H112" s="389" t="s">
        <v>166</v>
      </c>
      <c r="I112" s="398" t="s">
        <v>635</v>
      </c>
      <c r="J112" s="399" t="s">
        <v>636</v>
      </c>
      <c r="K112" s="390" t="str">
        <f t="shared" si="4"/>
        <v>XXX153830001XX</v>
      </c>
      <c r="L112" s="391" t="s">
        <v>1996</v>
      </c>
      <c r="M112" s="398" t="s">
        <v>712</v>
      </c>
      <c r="N112" s="399">
        <v>18399</v>
      </c>
      <c r="O112" s="399" t="s">
        <v>856</v>
      </c>
      <c r="P112" s="398" t="s">
        <v>574</v>
      </c>
    </row>
    <row r="113" spans="1:16" s="401" customFormat="1" ht="36">
      <c r="A113" s="452">
        <f t="shared" si="3"/>
        <v>110</v>
      </c>
      <c r="B113" s="387">
        <v>46030</v>
      </c>
      <c r="C113" s="388">
        <v>45993</v>
      </c>
      <c r="D113" s="389" t="s">
        <v>248</v>
      </c>
      <c r="E113" s="393" t="s">
        <v>164</v>
      </c>
      <c r="F113" s="404">
        <v>28.88</v>
      </c>
      <c r="G113" s="397" t="s">
        <v>1808</v>
      </c>
      <c r="H113" s="389" t="s">
        <v>278</v>
      </c>
      <c r="I113" s="398" t="s">
        <v>635</v>
      </c>
      <c r="J113" s="399" t="s">
        <v>636</v>
      </c>
      <c r="K113" s="390" t="str">
        <f t="shared" si="4"/>
        <v>XXX153830001XX</v>
      </c>
      <c r="L113" s="391" t="s">
        <v>1996</v>
      </c>
      <c r="M113" s="398" t="s">
        <v>712</v>
      </c>
      <c r="N113" s="399">
        <v>177</v>
      </c>
      <c r="O113" s="399" t="s">
        <v>834</v>
      </c>
      <c r="P113" s="398" t="s">
        <v>574</v>
      </c>
    </row>
    <row r="114" spans="1:16" s="401" customFormat="1" ht="36">
      <c r="A114" s="452">
        <f t="shared" si="3"/>
        <v>111</v>
      </c>
      <c r="B114" s="387">
        <v>46030</v>
      </c>
      <c r="C114" s="388">
        <v>45993</v>
      </c>
      <c r="D114" s="389" t="s">
        <v>166</v>
      </c>
      <c r="E114" s="398" t="s">
        <v>603</v>
      </c>
      <c r="F114" s="404">
        <v>1029.8</v>
      </c>
      <c r="G114" s="397" t="s">
        <v>1809</v>
      </c>
      <c r="H114" s="389" t="s">
        <v>166</v>
      </c>
      <c r="I114" s="398" t="s">
        <v>635</v>
      </c>
      <c r="J114" s="399" t="s">
        <v>636</v>
      </c>
      <c r="K114" s="390" t="str">
        <f t="shared" si="4"/>
        <v>XXX153830001XX</v>
      </c>
      <c r="L114" s="391" t="s">
        <v>1996</v>
      </c>
      <c r="M114" s="398" t="s">
        <v>712</v>
      </c>
      <c r="N114" s="399">
        <v>2025996155</v>
      </c>
      <c r="O114" s="399" t="s">
        <v>840</v>
      </c>
      <c r="P114" s="398" t="s">
        <v>572</v>
      </c>
    </row>
    <row r="115" spans="1:16" s="401" customFormat="1" ht="36">
      <c r="A115" s="452">
        <f t="shared" si="3"/>
        <v>112</v>
      </c>
      <c r="B115" s="387">
        <v>46030</v>
      </c>
      <c r="C115" s="388">
        <v>46024</v>
      </c>
      <c r="D115" s="389" t="s">
        <v>353</v>
      </c>
      <c r="E115" s="394" t="s">
        <v>334</v>
      </c>
      <c r="F115" s="404">
        <v>4933.97</v>
      </c>
      <c r="G115" s="397" t="s">
        <v>940</v>
      </c>
      <c r="H115" s="389" t="s">
        <v>280</v>
      </c>
      <c r="I115" s="394" t="s">
        <v>744</v>
      </c>
      <c r="J115" s="455">
        <v>7837375000150</v>
      </c>
      <c r="K115" s="390" t="str">
        <f t="shared" si="4"/>
        <v>XXX737500015XX</v>
      </c>
      <c r="L115" s="391" t="s">
        <v>1996</v>
      </c>
      <c r="M115" s="398" t="s">
        <v>727</v>
      </c>
      <c r="N115" s="399">
        <v>550526586</v>
      </c>
      <c r="O115" s="399" t="s">
        <v>894</v>
      </c>
      <c r="P115" s="398" t="s">
        <v>574</v>
      </c>
    </row>
    <row r="116" spans="1:16" s="401" customFormat="1" ht="36">
      <c r="A116" s="452">
        <f t="shared" si="3"/>
        <v>113</v>
      </c>
      <c r="B116" s="387">
        <v>46030</v>
      </c>
      <c r="C116" s="388">
        <v>45993</v>
      </c>
      <c r="D116" s="389" t="s">
        <v>248</v>
      </c>
      <c r="E116" s="398" t="s">
        <v>605</v>
      </c>
      <c r="F116" s="404">
        <v>8073.16</v>
      </c>
      <c r="G116" s="397" t="s">
        <v>941</v>
      </c>
      <c r="H116" s="389" t="s">
        <v>278</v>
      </c>
      <c r="I116" s="398" t="s">
        <v>774</v>
      </c>
      <c r="J116" s="399" t="s">
        <v>775</v>
      </c>
      <c r="K116" s="390" t="str">
        <f t="shared" si="4"/>
        <v>XXX545540001XX</v>
      </c>
      <c r="L116" s="391" t="s">
        <v>1996</v>
      </c>
      <c r="M116" s="398" t="s">
        <v>714</v>
      </c>
      <c r="N116" s="399">
        <v>122025</v>
      </c>
      <c r="O116" s="399" t="s">
        <v>834</v>
      </c>
      <c r="P116" s="398" t="s">
        <v>574</v>
      </c>
    </row>
    <row r="117" spans="1:16" s="401" customFormat="1" ht="36">
      <c r="A117" s="452">
        <f t="shared" si="3"/>
        <v>114</v>
      </c>
      <c r="B117" s="387">
        <v>46030</v>
      </c>
      <c r="C117" s="388">
        <v>46024</v>
      </c>
      <c r="D117" s="389" t="s">
        <v>132</v>
      </c>
      <c r="E117" s="396" t="s">
        <v>218</v>
      </c>
      <c r="F117" s="404">
        <v>2188</v>
      </c>
      <c r="G117" s="397" t="s">
        <v>942</v>
      </c>
      <c r="H117" s="389" t="s">
        <v>278</v>
      </c>
      <c r="I117" s="398" t="s">
        <v>795</v>
      </c>
      <c r="J117" s="399" t="s">
        <v>796</v>
      </c>
      <c r="K117" s="390" t="str">
        <f t="shared" si="4"/>
        <v>XXX499450001XX</v>
      </c>
      <c r="L117" s="391" t="s">
        <v>1996</v>
      </c>
      <c r="M117" s="398" t="s">
        <v>706</v>
      </c>
      <c r="N117" s="399">
        <v>2057887360</v>
      </c>
      <c r="O117" s="399" t="s">
        <v>894</v>
      </c>
      <c r="P117" s="398" t="s">
        <v>574</v>
      </c>
    </row>
    <row r="118" spans="1:16" s="401" customFormat="1" ht="48">
      <c r="A118" s="452">
        <f t="shared" si="3"/>
        <v>115</v>
      </c>
      <c r="B118" s="387">
        <v>46030</v>
      </c>
      <c r="C118" s="388">
        <v>46024</v>
      </c>
      <c r="D118" s="389" t="s">
        <v>353</v>
      </c>
      <c r="E118" s="394" t="s">
        <v>334</v>
      </c>
      <c r="F118" s="404">
        <v>-18.75</v>
      </c>
      <c r="G118" s="397" t="s">
        <v>943</v>
      </c>
      <c r="H118" s="389" t="s">
        <v>280</v>
      </c>
      <c r="I118" s="394" t="s">
        <v>744</v>
      </c>
      <c r="J118" s="455">
        <v>7837375000150</v>
      </c>
      <c r="K118" s="390" t="str">
        <f t="shared" si="4"/>
        <v>XXX737500015XX</v>
      </c>
      <c r="L118" s="391" t="s">
        <v>1996</v>
      </c>
      <c r="M118" s="398" t="s">
        <v>752</v>
      </c>
      <c r="N118" s="399">
        <v>550526586</v>
      </c>
      <c r="O118" s="399" t="s">
        <v>894</v>
      </c>
      <c r="P118" s="398" t="s">
        <v>574</v>
      </c>
    </row>
    <row r="119" spans="1:16" s="401" customFormat="1" ht="36">
      <c r="A119" s="452">
        <f t="shared" si="3"/>
        <v>116</v>
      </c>
      <c r="B119" s="387">
        <v>46030</v>
      </c>
      <c r="C119" s="388">
        <v>46024</v>
      </c>
      <c r="D119" s="389" t="s">
        <v>353</v>
      </c>
      <c r="E119" s="394" t="s">
        <v>153</v>
      </c>
      <c r="F119" s="404">
        <v>54085.49</v>
      </c>
      <c r="G119" s="397" t="s">
        <v>821</v>
      </c>
      <c r="H119" s="389" t="s">
        <v>280</v>
      </c>
      <c r="I119" s="394" t="s">
        <v>744</v>
      </c>
      <c r="J119" s="455">
        <v>7837375000150</v>
      </c>
      <c r="K119" s="390" t="str">
        <f t="shared" si="4"/>
        <v>XXX737500015XX</v>
      </c>
      <c r="L119" s="391" t="s">
        <v>1996</v>
      </c>
      <c r="M119" s="398" t="s">
        <v>706</v>
      </c>
      <c r="N119" s="399">
        <v>8012026</v>
      </c>
      <c r="O119" s="399" t="s">
        <v>894</v>
      </c>
      <c r="P119" s="398" t="s">
        <v>574</v>
      </c>
    </row>
    <row r="120" spans="1:16" s="401" customFormat="1" ht="36">
      <c r="A120" s="452">
        <f t="shared" si="3"/>
        <v>117</v>
      </c>
      <c r="B120" s="387">
        <v>46030</v>
      </c>
      <c r="C120" s="388">
        <v>45993</v>
      </c>
      <c r="D120" s="389" t="s">
        <v>166</v>
      </c>
      <c r="E120" s="398" t="s">
        <v>4</v>
      </c>
      <c r="F120" s="404">
        <v>154791.74</v>
      </c>
      <c r="G120" s="397" t="s">
        <v>944</v>
      </c>
      <c r="H120" s="389" t="s">
        <v>166</v>
      </c>
      <c r="I120" s="398" t="s">
        <v>647</v>
      </c>
      <c r="J120" s="399" t="s">
        <v>648</v>
      </c>
      <c r="K120" s="390" t="str">
        <f t="shared" si="4"/>
        <v>XXX603050001XX</v>
      </c>
      <c r="L120" s="391" t="s">
        <v>1996</v>
      </c>
      <c r="M120" s="398" t="s">
        <v>718</v>
      </c>
      <c r="N120" s="399">
        <v>1777</v>
      </c>
      <c r="O120" s="399" t="s">
        <v>834</v>
      </c>
      <c r="P120" s="398" t="s">
        <v>572</v>
      </c>
    </row>
    <row r="121" spans="1:16" s="401" customFormat="1" ht="36">
      <c r="A121" s="452">
        <f t="shared" si="3"/>
        <v>118</v>
      </c>
      <c r="B121" s="387">
        <v>46030</v>
      </c>
      <c r="C121" s="388">
        <v>45993</v>
      </c>
      <c r="D121" s="389" t="s">
        <v>166</v>
      </c>
      <c r="E121" s="398" t="s">
        <v>4</v>
      </c>
      <c r="F121" s="404">
        <v>6640.93</v>
      </c>
      <c r="G121" s="397" t="s">
        <v>945</v>
      </c>
      <c r="H121" s="389" t="s">
        <v>166</v>
      </c>
      <c r="I121" s="398" t="s">
        <v>647</v>
      </c>
      <c r="J121" s="399" t="s">
        <v>648</v>
      </c>
      <c r="K121" s="390" t="str">
        <f t="shared" si="4"/>
        <v>XXX603050001XX</v>
      </c>
      <c r="L121" s="391" t="s">
        <v>1996</v>
      </c>
      <c r="M121" s="398" t="s">
        <v>718</v>
      </c>
      <c r="N121" s="399">
        <v>1777</v>
      </c>
      <c r="O121" s="399" t="s">
        <v>834</v>
      </c>
      <c r="P121" s="398" t="s">
        <v>572</v>
      </c>
    </row>
    <row r="122" spans="1:16" s="401" customFormat="1" ht="36">
      <c r="A122" s="452">
        <f t="shared" si="3"/>
        <v>119</v>
      </c>
      <c r="B122" s="387">
        <v>46030</v>
      </c>
      <c r="C122" s="388">
        <v>45993</v>
      </c>
      <c r="D122" s="389" t="s">
        <v>166</v>
      </c>
      <c r="E122" s="398" t="s">
        <v>603</v>
      </c>
      <c r="F122" s="404">
        <v>83.69</v>
      </c>
      <c r="G122" s="397" t="s">
        <v>1809</v>
      </c>
      <c r="H122" s="389" t="s">
        <v>166</v>
      </c>
      <c r="I122" s="398" t="s">
        <v>635</v>
      </c>
      <c r="J122" s="399" t="s">
        <v>636</v>
      </c>
      <c r="K122" s="390" t="str">
        <f t="shared" si="4"/>
        <v>XXX153830001XX</v>
      </c>
      <c r="L122" s="391" t="s">
        <v>1996</v>
      </c>
      <c r="M122" s="398" t="s">
        <v>712</v>
      </c>
      <c r="N122" s="399">
        <v>2025942615</v>
      </c>
      <c r="O122" s="399" t="s">
        <v>835</v>
      </c>
      <c r="P122" s="398" t="s">
        <v>572</v>
      </c>
    </row>
    <row r="123" spans="1:16" s="401" customFormat="1" ht="84">
      <c r="A123" s="452">
        <f t="shared" si="3"/>
        <v>120</v>
      </c>
      <c r="B123" s="387">
        <v>46034</v>
      </c>
      <c r="C123" s="388">
        <v>45993</v>
      </c>
      <c r="D123" s="389" t="s">
        <v>248</v>
      </c>
      <c r="E123" s="393" t="s">
        <v>164</v>
      </c>
      <c r="F123" s="404">
        <v>2166.2800000000002</v>
      </c>
      <c r="G123" s="397" t="s">
        <v>946</v>
      </c>
      <c r="H123" s="389" t="s">
        <v>278</v>
      </c>
      <c r="I123" s="398" t="s">
        <v>803</v>
      </c>
      <c r="J123" s="399" t="s">
        <v>804</v>
      </c>
      <c r="K123" s="390" t="str">
        <f t="shared" si="4"/>
        <v>XXX105090013XX</v>
      </c>
      <c r="L123" s="391" t="s">
        <v>1996</v>
      </c>
      <c r="M123" s="398" t="s">
        <v>704</v>
      </c>
      <c r="N123" s="399">
        <v>4256549</v>
      </c>
      <c r="O123" s="399" t="s">
        <v>848</v>
      </c>
      <c r="P123" s="398" t="s">
        <v>574</v>
      </c>
    </row>
    <row r="124" spans="1:16" s="401" customFormat="1" ht="36">
      <c r="A124" s="452">
        <f t="shared" si="3"/>
        <v>121</v>
      </c>
      <c r="B124" s="387">
        <v>46034</v>
      </c>
      <c r="C124" s="388">
        <v>46024</v>
      </c>
      <c r="D124" s="389" t="s">
        <v>248</v>
      </c>
      <c r="E124" s="393" t="s">
        <v>164</v>
      </c>
      <c r="F124" s="404">
        <v>563.05999999999995</v>
      </c>
      <c r="G124" s="397" t="s">
        <v>947</v>
      </c>
      <c r="H124" s="389" t="s">
        <v>278</v>
      </c>
      <c r="I124" s="398" t="s">
        <v>651</v>
      </c>
      <c r="J124" s="399" t="s">
        <v>652</v>
      </c>
      <c r="K124" s="390" t="str">
        <f t="shared" si="4"/>
        <v>XXX778580001XX</v>
      </c>
      <c r="L124" s="391" t="s">
        <v>1996</v>
      </c>
      <c r="M124" s="398" t="s">
        <v>704</v>
      </c>
      <c r="N124" s="399">
        <v>349</v>
      </c>
      <c r="O124" s="399" t="s">
        <v>885</v>
      </c>
      <c r="P124" s="398" t="s">
        <v>574</v>
      </c>
    </row>
    <row r="125" spans="1:16" s="401" customFormat="1" ht="24">
      <c r="A125" s="452">
        <f t="shared" si="3"/>
        <v>122</v>
      </c>
      <c r="B125" s="387">
        <v>46034</v>
      </c>
      <c r="C125" s="388">
        <v>46024</v>
      </c>
      <c r="D125" s="389" t="s">
        <v>166</v>
      </c>
      <c r="E125" s="394" t="s">
        <v>452</v>
      </c>
      <c r="F125" s="404">
        <v>8816.01</v>
      </c>
      <c r="G125" s="397" t="s">
        <v>949</v>
      </c>
      <c r="H125" s="389" t="s">
        <v>166</v>
      </c>
      <c r="I125" s="398" t="s">
        <v>782</v>
      </c>
      <c r="J125" s="399" t="s">
        <v>783</v>
      </c>
      <c r="K125" s="390" t="str">
        <f t="shared" si="4"/>
        <v>XXX51881687 XX</v>
      </c>
      <c r="L125" s="391" t="s">
        <v>1996</v>
      </c>
      <c r="M125" s="398" t="s">
        <v>705</v>
      </c>
      <c r="N125" s="399">
        <v>375</v>
      </c>
      <c r="O125" s="399" t="s">
        <v>885</v>
      </c>
      <c r="P125" s="398" t="s">
        <v>573</v>
      </c>
    </row>
    <row r="126" spans="1:16" s="401" customFormat="1" ht="48">
      <c r="A126" s="452">
        <f t="shared" si="3"/>
        <v>123</v>
      </c>
      <c r="B126" s="387">
        <v>46035</v>
      </c>
      <c r="C126" s="388">
        <v>46024</v>
      </c>
      <c r="D126" s="389" t="s">
        <v>353</v>
      </c>
      <c r="E126" s="398" t="s">
        <v>587</v>
      </c>
      <c r="F126" s="404">
        <v>100</v>
      </c>
      <c r="G126" s="397" t="s">
        <v>950</v>
      </c>
      <c r="H126" s="389" t="s">
        <v>280</v>
      </c>
      <c r="I126" s="394" t="s">
        <v>744</v>
      </c>
      <c r="J126" s="455">
        <v>7837375000150</v>
      </c>
      <c r="K126" s="390" t="str">
        <f t="shared" si="4"/>
        <v>XXX737500015XX</v>
      </c>
      <c r="L126" s="391" t="s">
        <v>1996</v>
      </c>
      <c r="M126" s="398" t="s">
        <v>708</v>
      </c>
      <c r="N126" s="399">
        <v>12026</v>
      </c>
      <c r="O126" s="399" t="s">
        <v>896</v>
      </c>
      <c r="P126" s="398" t="s">
        <v>574</v>
      </c>
    </row>
    <row r="127" spans="1:16" s="401" customFormat="1" ht="24">
      <c r="A127" s="452">
        <f t="shared" si="3"/>
        <v>124</v>
      </c>
      <c r="B127" s="387">
        <v>46035</v>
      </c>
      <c r="C127" s="388">
        <v>46024</v>
      </c>
      <c r="D127" s="389" t="s">
        <v>166</v>
      </c>
      <c r="E127" s="394" t="s">
        <v>452</v>
      </c>
      <c r="F127" s="404">
        <v>2158.6799999999998</v>
      </c>
      <c r="G127" s="397" t="s">
        <v>951</v>
      </c>
      <c r="H127" s="389" t="s">
        <v>166</v>
      </c>
      <c r="I127" s="398" t="s">
        <v>647</v>
      </c>
      <c r="J127" s="399" t="s">
        <v>648</v>
      </c>
      <c r="K127" s="390" t="str">
        <f t="shared" si="4"/>
        <v>XXX603050001XX</v>
      </c>
      <c r="L127" s="391" t="s">
        <v>1996</v>
      </c>
      <c r="M127" s="398" t="s">
        <v>718</v>
      </c>
      <c r="N127" s="399">
        <v>12026</v>
      </c>
      <c r="O127" s="399" t="s">
        <v>885</v>
      </c>
      <c r="P127" s="398" t="s">
        <v>573</v>
      </c>
    </row>
    <row r="128" spans="1:16" s="401" customFormat="1" ht="36">
      <c r="A128" s="452">
        <f t="shared" si="3"/>
        <v>125</v>
      </c>
      <c r="B128" s="387">
        <v>46036</v>
      </c>
      <c r="C128" s="388">
        <v>45993</v>
      </c>
      <c r="D128" s="389" t="s">
        <v>248</v>
      </c>
      <c r="E128" s="393" t="s">
        <v>151</v>
      </c>
      <c r="F128" s="404">
        <v>207.9</v>
      </c>
      <c r="G128" s="397" t="s">
        <v>952</v>
      </c>
      <c r="H128" s="389" t="s">
        <v>278</v>
      </c>
      <c r="I128" s="398" t="s">
        <v>641</v>
      </c>
      <c r="J128" s="399" t="s">
        <v>642</v>
      </c>
      <c r="K128" s="390" t="str">
        <f t="shared" si="4"/>
        <v>XXX581570009XX</v>
      </c>
      <c r="L128" s="391" t="s">
        <v>1996</v>
      </c>
      <c r="M128" s="398" t="s">
        <v>717</v>
      </c>
      <c r="N128" s="399">
        <v>387124</v>
      </c>
      <c r="O128" s="399" t="s">
        <v>897</v>
      </c>
      <c r="P128" s="398" t="s">
        <v>574</v>
      </c>
    </row>
    <row r="129" spans="1:16" s="401" customFormat="1" ht="36">
      <c r="A129" s="452">
        <f t="shared" si="3"/>
        <v>126</v>
      </c>
      <c r="B129" s="387">
        <v>46036</v>
      </c>
      <c r="C129" s="388">
        <v>45993</v>
      </c>
      <c r="D129" s="389" t="s">
        <v>248</v>
      </c>
      <c r="E129" s="393" t="s">
        <v>151</v>
      </c>
      <c r="F129" s="404">
        <v>1032.42</v>
      </c>
      <c r="G129" s="397" t="s">
        <v>952</v>
      </c>
      <c r="H129" s="389" t="s">
        <v>278</v>
      </c>
      <c r="I129" s="398" t="s">
        <v>641</v>
      </c>
      <c r="J129" s="399" t="s">
        <v>642</v>
      </c>
      <c r="K129" s="390" t="str">
        <f t="shared" si="4"/>
        <v>XXX581570009XX</v>
      </c>
      <c r="L129" s="391" t="s">
        <v>1996</v>
      </c>
      <c r="M129" s="398" t="s">
        <v>717</v>
      </c>
      <c r="N129" s="399">
        <v>386519</v>
      </c>
      <c r="O129" s="399" t="s">
        <v>897</v>
      </c>
      <c r="P129" s="398" t="s">
        <v>574</v>
      </c>
    </row>
    <row r="130" spans="1:16" s="401" customFormat="1" ht="48">
      <c r="A130" s="452">
        <f t="shared" si="3"/>
        <v>127</v>
      </c>
      <c r="B130" s="387">
        <v>46036</v>
      </c>
      <c r="C130" s="388">
        <v>45993</v>
      </c>
      <c r="D130" s="389" t="s">
        <v>248</v>
      </c>
      <c r="E130" s="398" t="s">
        <v>605</v>
      </c>
      <c r="F130" s="404">
        <v>9649.52</v>
      </c>
      <c r="G130" s="397" t="s">
        <v>953</v>
      </c>
      <c r="H130" s="389" t="s">
        <v>278</v>
      </c>
      <c r="I130" s="398" t="s">
        <v>637</v>
      </c>
      <c r="J130" s="399" t="s">
        <v>638</v>
      </c>
      <c r="K130" s="390" t="str">
        <f t="shared" si="4"/>
        <v>XXX128340001XX</v>
      </c>
      <c r="L130" s="391" t="s">
        <v>1996</v>
      </c>
      <c r="M130" s="398" t="s">
        <v>720</v>
      </c>
      <c r="N130" s="399">
        <v>74981225</v>
      </c>
      <c r="O130" s="399" t="s">
        <v>834</v>
      </c>
      <c r="P130" s="398" t="s">
        <v>574</v>
      </c>
    </row>
    <row r="131" spans="1:16" s="401" customFormat="1" ht="48">
      <c r="A131" s="452">
        <f t="shared" si="3"/>
        <v>128</v>
      </c>
      <c r="B131" s="387">
        <v>46036</v>
      </c>
      <c r="C131" s="388">
        <v>46024</v>
      </c>
      <c r="D131" s="389" t="s">
        <v>353</v>
      </c>
      <c r="E131" s="398" t="s">
        <v>587</v>
      </c>
      <c r="F131" s="404">
        <v>100</v>
      </c>
      <c r="G131" s="397" t="s">
        <v>954</v>
      </c>
      <c r="H131" s="389" t="s">
        <v>280</v>
      </c>
      <c r="I131" s="394" t="s">
        <v>744</v>
      </c>
      <c r="J131" s="455">
        <v>7837375000150</v>
      </c>
      <c r="K131" s="390" t="str">
        <f t="shared" si="4"/>
        <v>XXX737500015XX</v>
      </c>
      <c r="L131" s="391" t="s">
        <v>1996</v>
      </c>
      <c r="M131" s="398" t="s">
        <v>708</v>
      </c>
      <c r="N131" s="399">
        <v>12026</v>
      </c>
      <c r="O131" s="399" t="s">
        <v>898</v>
      </c>
      <c r="P131" s="398" t="s">
        <v>574</v>
      </c>
    </row>
    <row r="132" spans="1:16" s="401" customFormat="1" ht="36">
      <c r="A132" s="452">
        <f t="shared" ref="A132:A195" si="5">IF(B132="","",ROW()-ROW($A$3))</f>
        <v>129</v>
      </c>
      <c r="B132" s="387">
        <v>46036</v>
      </c>
      <c r="C132" s="388">
        <v>46024</v>
      </c>
      <c r="D132" s="389" t="s">
        <v>248</v>
      </c>
      <c r="E132" s="398" t="s">
        <v>829</v>
      </c>
      <c r="F132" s="404">
        <v>168.13</v>
      </c>
      <c r="G132" s="397" t="s">
        <v>833</v>
      </c>
      <c r="H132" s="392" t="s">
        <v>278</v>
      </c>
      <c r="I132" s="398" t="s">
        <v>830</v>
      </c>
      <c r="J132" s="399" t="s">
        <v>773</v>
      </c>
      <c r="K132" s="390" t="str">
        <f t="shared" si="4"/>
        <v>XXX000000000XX</v>
      </c>
      <c r="L132" s="391" t="s">
        <v>1996</v>
      </c>
      <c r="M132" s="398" t="s">
        <v>704</v>
      </c>
      <c r="N132" s="399">
        <v>1071992</v>
      </c>
      <c r="O132" s="399" t="s">
        <v>899</v>
      </c>
      <c r="P132" s="398" t="s">
        <v>868</v>
      </c>
    </row>
    <row r="133" spans="1:16" s="401" customFormat="1" ht="48">
      <c r="A133" s="452">
        <f t="shared" si="5"/>
        <v>130</v>
      </c>
      <c r="B133" s="387">
        <v>46036</v>
      </c>
      <c r="C133" s="388">
        <v>46024</v>
      </c>
      <c r="D133" s="389" t="s">
        <v>166</v>
      </c>
      <c r="E133" s="398" t="s">
        <v>586</v>
      </c>
      <c r="F133" s="404">
        <v>849.6</v>
      </c>
      <c r="G133" s="397" t="s">
        <v>955</v>
      </c>
      <c r="H133" s="389" t="s">
        <v>166</v>
      </c>
      <c r="I133" s="398" t="s">
        <v>620</v>
      </c>
      <c r="J133" s="399" t="s">
        <v>621</v>
      </c>
      <c r="K133" s="390" t="str">
        <f t="shared" si="4"/>
        <v>XXX408760001XX</v>
      </c>
      <c r="L133" s="391" t="s">
        <v>1996</v>
      </c>
      <c r="M133" s="398" t="s">
        <v>706</v>
      </c>
      <c r="N133" s="399">
        <v>2057887364</v>
      </c>
      <c r="O133" s="399" t="s">
        <v>898</v>
      </c>
      <c r="P133" s="398" t="s">
        <v>574</v>
      </c>
    </row>
    <row r="134" spans="1:16" ht="48">
      <c r="A134" s="452">
        <f t="shared" si="5"/>
        <v>131</v>
      </c>
      <c r="B134" s="431">
        <v>46036</v>
      </c>
      <c r="C134" s="432">
        <v>46024</v>
      </c>
      <c r="D134" s="392" t="s">
        <v>248</v>
      </c>
      <c r="E134" s="393" t="s">
        <v>164</v>
      </c>
      <c r="F134" s="434">
        <v>1050.83</v>
      </c>
      <c r="G134" s="433" t="s">
        <v>1995</v>
      </c>
      <c r="H134" s="392" t="s">
        <v>278</v>
      </c>
      <c r="I134" s="394" t="s">
        <v>632</v>
      </c>
      <c r="J134" s="435" t="s">
        <v>633</v>
      </c>
      <c r="K134" s="394" t="str">
        <f t="shared" si="4"/>
        <v>XXX527800001XX</v>
      </c>
      <c r="L134" s="391" t="s">
        <v>1996</v>
      </c>
      <c r="M134" s="394" t="s">
        <v>704</v>
      </c>
      <c r="N134" s="435">
        <v>52794929</v>
      </c>
      <c r="O134" s="435" t="s">
        <v>898</v>
      </c>
      <c r="P134" s="394" t="s">
        <v>574</v>
      </c>
    </row>
    <row r="135" spans="1:16" s="401" customFormat="1" ht="36">
      <c r="A135" s="452">
        <f t="shared" si="5"/>
        <v>132</v>
      </c>
      <c r="B135" s="387">
        <v>46037</v>
      </c>
      <c r="C135" s="388">
        <v>45993</v>
      </c>
      <c r="D135" s="389" t="s">
        <v>248</v>
      </c>
      <c r="E135" s="398" t="s">
        <v>582</v>
      </c>
      <c r="F135" s="404">
        <v>8317.24</v>
      </c>
      <c r="G135" s="397" t="s">
        <v>956</v>
      </c>
      <c r="H135" s="389" t="s">
        <v>737</v>
      </c>
      <c r="I135" s="398" t="s">
        <v>696</v>
      </c>
      <c r="J135" s="399" t="s">
        <v>697</v>
      </c>
      <c r="K135" s="390" t="str">
        <f t="shared" si="4"/>
        <v>XXX702470001XX</v>
      </c>
      <c r="L135" s="391" t="s">
        <v>1996</v>
      </c>
      <c r="M135" s="398" t="s">
        <v>708</v>
      </c>
      <c r="N135" s="399">
        <v>106</v>
      </c>
      <c r="O135" s="399" t="s">
        <v>842</v>
      </c>
      <c r="P135" s="398" t="s">
        <v>574</v>
      </c>
    </row>
    <row r="136" spans="1:16" s="401" customFormat="1" ht="36">
      <c r="A136" s="452">
        <f t="shared" si="5"/>
        <v>133</v>
      </c>
      <c r="B136" s="387">
        <v>46037</v>
      </c>
      <c r="C136" s="388">
        <v>45963</v>
      </c>
      <c r="D136" s="389" t="s">
        <v>248</v>
      </c>
      <c r="E136" s="393" t="s">
        <v>142</v>
      </c>
      <c r="F136" s="404">
        <v>132053.79999999999</v>
      </c>
      <c r="G136" s="397" t="s">
        <v>957</v>
      </c>
      <c r="H136" s="389" t="s">
        <v>738</v>
      </c>
      <c r="I136" s="398" t="s">
        <v>653</v>
      </c>
      <c r="J136" s="399" t="s">
        <v>654</v>
      </c>
      <c r="K136" s="390" t="str">
        <f t="shared" si="4"/>
        <v>XXX682190001XX</v>
      </c>
      <c r="L136" s="391" t="s">
        <v>1996</v>
      </c>
      <c r="M136" s="398" t="s">
        <v>708</v>
      </c>
      <c r="N136" s="399">
        <v>73359</v>
      </c>
      <c r="O136" s="399" t="s">
        <v>837</v>
      </c>
      <c r="P136" s="398" t="s">
        <v>574</v>
      </c>
    </row>
    <row r="137" spans="1:16" s="401" customFormat="1" ht="36">
      <c r="A137" s="452">
        <f t="shared" si="5"/>
        <v>134</v>
      </c>
      <c r="B137" s="387">
        <v>46037</v>
      </c>
      <c r="C137" s="388">
        <v>45963</v>
      </c>
      <c r="D137" s="389" t="s">
        <v>248</v>
      </c>
      <c r="E137" s="393" t="s">
        <v>142</v>
      </c>
      <c r="F137" s="404">
        <v>52797.8</v>
      </c>
      <c r="G137" s="397" t="s">
        <v>958</v>
      </c>
      <c r="H137" s="389" t="s">
        <v>738</v>
      </c>
      <c r="I137" s="398" t="s">
        <v>653</v>
      </c>
      <c r="J137" s="399" t="s">
        <v>654</v>
      </c>
      <c r="K137" s="390" t="str">
        <f t="shared" si="4"/>
        <v>XXX682190001XX</v>
      </c>
      <c r="L137" s="391" t="s">
        <v>1996</v>
      </c>
      <c r="M137" s="398" t="s">
        <v>708</v>
      </c>
      <c r="N137" s="399">
        <v>73359</v>
      </c>
      <c r="O137" s="399" t="s">
        <v>837</v>
      </c>
      <c r="P137" s="398" t="s">
        <v>574</v>
      </c>
    </row>
    <row r="138" spans="1:16" s="401" customFormat="1" ht="36">
      <c r="A138" s="452">
        <f t="shared" si="5"/>
        <v>135</v>
      </c>
      <c r="B138" s="387">
        <v>46037</v>
      </c>
      <c r="C138" s="388">
        <v>45963</v>
      </c>
      <c r="D138" s="389" t="s">
        <v>248</v>
      </c>
      <c r="E138" s="393" t="s">
        <v>142</v>
      </c>
      <c r="F138" s="404">
        <v>1693.98</v>
      </c>
      <c r="G138" s="397" t="s">
        <v>959</v>
      </c>
      <c r="H138" s="389" t="s">
        <v>738</v>
      </c>
      <c r="I138" s="398" t="s">
        <v>653</v>
      </c>
      <c r="J138" s="399" t="s">
        <v>654</v>
      </c>
      <c r="K138" s="390" t="str">
        <f t="shared" si="4"/>
        <v>XXX682190001XX</v>
      </c>
      <c r="L138" s="391" t="s">
        <v>1996</v>
      </c>
      <c r="M138" s="398" t="s">
        <v>708</v>
      </c>
      <c r="N138" s="399">
        <v>73359</v>
      </c>
      <c r="O138" s="399" t="s">
        <v>837</v>
      </c>
      <c r="P138" s="398" t="s">
        <v>574</v>
      </c>
    </row>
    <row r="139" spans="1:16" s="401" customFormat="1" ht="36">
      <c r="A139" s="452">
        <f t="shared" si="5"/>
        <v>136</v>
      </c>
      <c r="B139" s="387">
        <v>46037</v>
      </c>
      <c r="C139" s="388">
        <v>45963</v>
      </c>
      <c r="D139" s="389" t="s">
        <v>248</v>
      </c>
      <c r="E139" s="393" t="s">
        <v>142</v>
      </c>
      <c r="F139" s="404">
        <v>63515.63</v>
      </c>
      <c r="G139" s="397" t="s">
        <v>960</v>
      </c>
      <c r="H139" s="389" t="s">
        <v>738</v>
      </c>
      <c r="I139" s="398" t="s">
        <v>653</v>
      </c>
      <c r="J139" s="399" t="s">
        <v>654</v>
      </c>
      <c r="K139" s="390" t="str">
        <f t="shared" si="4"/>
        <v>XXX682190001XX</v>
      </c>
      <c r="L139" s="391" t="s">
        <v>1996</v>
      </c>
      <c r="M139" s="398" t="s">
        <v>708</v>
      </c>
      <c r="N139" s="399">
        <v>73359</v>
      </c>
      <c r="O139" s="399" t="s">
        <v>837</v>
      </c>
      <c r="P139" s="398" t="s">
        <v>574</v>
      </c>
    </row>
    <row r="140" spans="1:16" s="401" customFormat="1" ht="36">
      <c r="A140" s="452">
        <f t="shared" si="5"/>
        <v>137</v>
      </c>
      <c r="B140" s="387">
        <v>46037</v>
      </c>
      <c r="C140" s="388">
        <v>45963</v>
      </c>
      <c r="D140" s="389" t="s">
        <v>248</v>
      </c>
      <c r="E140" s="393" t="s">
        <v>142</v>
      </c>
      <c r="F140" s="404">
        <v>31060.6</v>
      </c>
      <c r="G140" s="397" t="s">
        <v>961</v>
      </c>
      <c r="H140" s="389" t="s">
        <v>738</v>
      </c>
      <c r="I140" s="398" t="s">
        <v>653</v>
      </c>
      <c r="J140" s="399" t="s">
        <v>654</v>
      </c>
      <c r="K140" s="390" t="str">
        <f t="shared" si="4"/>
        <v>XXX682190001XX</v>
      </c>
      <c r="L140" s="391" t="s">
        <v>1996</v>
      </c>
      <c r="M140" s="398" t="s">
        <v>708</v>
      </c>
      <c r="N140" s="399">
        <v>73359</v>
      </c>
      <c r="O140" s="399" t="s">
        <v>837</v>
      </c>
      <c r="P140" s="398" t="s">
        <v>574</v>
      </c>
    </row>
    <row r="141" spans="1:16" s="401" customFormat="1" ht="36">
      <c r="A141" s="452">
        <f t="shared" si="5"/>
        <v>138</v>
      </c>
      <c r="B141" s="387">
        <v>46037</v>
      </c>
      <c r="C141" s="388">
        <v>45963</v>
      </c>
      <c r="D141" s="389" t="s">
        <v>248</v>
      </c>
      <c r="E141" s="393" t="s">
        <v>142</v>
      </c>
      <c r="F141" s="404">
        <v>875.57</v>
      </c>
      <c r="G141" s="397" t="s">
        <v>961</v>
      </c>
      <c r="H141" s="389" t="s">
        <v>738</v>
      </c>
      <c r="I141" s="398" t="s">
        <v>653</v>
      </c>
      <c r="J141" s="399" t="s">
        <v>654</v>
      </c>
      <c r="K141" s="390" t="str">
        <f t="shared" ref="K141:K179" si="6">IF(J141="","",IF(LEN(J141)&gt;14,IF(ISBLANK(J141),"",J141),REPLACE(REPLACE(J141,1,3,"XXX"),13,2,"XX")))</f>
        <v>XXX682190001XX</v>
      </c>
      <c r="L141" s="391" t="s">
        <v>1996</v>
      </c>
      <c r="M141" s="398" t="s">
        <v>708</v>
      </c>
      <c r="N141" s="399">
        <v>73359</v>
      </c>
      <c r="O141" s="399" t="s">
        <v>837</v>
      </c>
      <c r="P141" s="398" t="s">
        <v>574</v>
      </c>
    </row>
    <row r="142" spans="1:16" s="401" customFormat="1" ht="48">
      <c r="A142" s="452">
        <f t="shared" si="5"/>
        <v>139</v>
      </c>
      <c r="B142" s="387">
        <v>46037</v>
      </c>
      <c r="C142" s="388">
        <v>46024</v>
      </c>
      <c r="D142" s="389" t="s">
        <v>248</v>
      </c>
      <c r="E142" s="398" t="s">
        <v>607</v>
      </c>
      <c r="F142" s="404">
        <v>2746.47</v>
      </c>
      <c r="G142" s="397" t="s">
        <v>962</v>
      </c>
      <c r="H142" s="389" t="s">
        <v>278</v>
      </c>
      <c r="I142" s="398" t="s">
        <v>747</v>
      </c>
      <c r="J142" s="399" t="s">
        <v>748</v>
      </c>
      <c r="K142" s="390" t="str">
        <f t="shared" si="6"/>
        <v>XXX262980001XX</v>
      </c>
      <c r="L142" s="391" t="s">
        <v>1996</v>
      </c>
      <c r="M142" s="398" t="s">
        <v>708</v>
      </c>
      <c r="N142" s="399">
        <v>628</v>
      </c>
      <c r="O142" s="399" t="s">
        <v>886</v>
      </c>
      <c r="P142" s="398" t="s">
        <v>574</v>
      </c>
    </row>
    <row r="143" spans="1:16" s="401" customFormat="1" ht="36">
      <c r="A143" s="452">
        <f t="shared" si="5"/>
        <v>140</v>
      </c>
      <c r="B143" s="387">
        <v>46037</v>
      </c>
      <c r="C143" s="388">
        <v>45993</v>
      </c>
      <c r="D143" s="389" t="s">
        <v>166</v>
      </c>
      <c r="E143" s="398" t="s">
        <v>603</v>
      </c>
      <c r="F143" s="404">
        <v>113391.98</v>
      </c>
      <c r="G143" s="397" t="s">
        <v>939</v>
      </c>
      <c r="H143" s="389" t="s">
        <v>166</v>
      </c>
      <c r="I143" s="398" t="s">
        <v>655</v>
      </c>
      <c r="J143" s="399" t="s">
        <v>656</v>
      </c>
      <c r="K143" s="390" t="str">
        <f t="shared" si="6"/>
        <v>XXX131780001XX</v>
      </c>
      <c r="L143" s="391" t="s">
        <v>1996</v>
      </c>
      <c r="M143" s="398" t="s">
        <v>704</v>
      </c>
      <c r="N143" s="399">
        <v>2025996155</v>
      </c>
      <c r="O143" s="399" t="s">
        <v>840</v>
      </c>
      <c r="P143" s="398" t="s">
        <v>572</v>
      </c>
    </row>
    <row r="144" spans="1:16" s="401" customFormat="1" ht="48">
      <c r="A144" s="452">
        <f t="shared" si="5"/>
        <v>141</v>
      </c>
      <c r="B144" s="387">
        <v>46037</v>
      </c>
      <c r="C144" s="388">
        <v>46024</v>
      </c>
      <c r="D144" s="389" t="s">
        <v>248</v>
      </c>
      <c r="E144" s="393" t="s">
        <v>164</v>
      </c>
      <c r="F144" s="404">
        <v>985.23</v>
      </c>
      <c r="G144" s="397" t="s">
        <v>963</v>
      </c>
      <c r="H144" s="389" t="s">
        <v>278</v>
      </c>
      <c r="I144" s="398" t="s">
        <v>660</v>
      </c>
      <c r="J144" s="399" t="s">
        <v>661</v>
      </c>
      <c r="K144" s="390" t="str">
        <f t="shared" si="6"/>
        <v>XXX500340001XX</v>
      </c>
      <c r="L144" s="391" t="s">
        <v>1996</v>
      </c>
      <c r="M144" s="398" t="s">
        <v>708</v>
      </c>
      <c r="N144" s="399">
        <v>23</v>
      </c>
      <c r="O144" s="399" t="s">
        <v>894</v>
      </c>
      <c r="P144" s="398" t="s">
        <v>574</v>
      </c>
    </row>
    <row r="145" spans="1:16" s="401" customFormat="1" ht="60">
      <c r="A145" s="452">
        <f t="shared" si="5"/>
        <v>142</v>
      </c>
      <c r="B145" s="387">
        <v>46037</v>
      </c>
      <c r="C145" s="388">
        <v>46024</v>
      </c>
      <c r="D145" s="389" t="s">
        <v>248</v>
      </c>
      <c r="E145" s="398" t="s">
        <v>596</v>
      </c>
      <c r="F145" s="404">
        <v>1330</v>
      </c>
      <c r="G145" s="397" t="s">
        <v>964</v>
      </c>
      <c r="H145" s="389" t="s">
        <v>737</v>
      </c>
      <c r="I145" s="398" t="s">
        <v>662</v>
      </c>
      <c r="J145" s="399" t="s">
        <v>663</v>
      </c>
      <c r="K145" s="390" t="str">
        <f t="shared" si="6"/>
        <v>XXX901370001XX</v>
      </c>
      <c r="L145" s="391" t="s">
        <v>1996</v>
      </c>
      <c r="M145" s="398" t="s">
        <v>707</v>
      </c>
      <c r="N145" s="399">
        <v>100</v>
      </c>
      <c r="O145" s="399" t="s">
        <v>887</v>
      </c>
      <c r="P145" s="398" t="s">
        <v>868</v>
      </c>
    </row>
    <row r="146" spans="1:16" s="401" customFormat="1" ht="96">
      <c r="A146" s="452">
        <f t="shared" si="5"/>
        <v>143</v>
      </c>
      <c r="B146" s="387">
        <v>46037</v>
      </c>
      <c r="C146" s="388">
        <v>46024</v>
      </c>
      <c r="D146" s="389" t="s">
        <v>248</v>
      </c>
      <c r="E146" s="398" t="s">
        <v>595</v>
      </c>
      <c r="F146" s="404">
        <v>1748.06</v>
      </c>
      <c r="G146" s="397" t="s">
        <v>965</v>
      </c>
      <c r="H146" s="389" t="s">
        <v>278</v>
      </c>
      <c r="I146" s="398" t="s">
        <v>649</v>
      </c>
      <c r="J146" s="399" t="s">
        <v>650</v>
      </c>
      <c r="K146" s="390" t="str">
        <f t="shared" si="6"/>
        <v>XXX213490001XX</v>
      </c>
      <c r="L146" s="391" t="s">
        <v>1996</v>
      </c>
      <c r="M146" s="398" t="s">
        <v>708</v>
      </c>
      <c r="N146" s="399">
        <v>341</v>
      </c>
      <c r="O146" s="399" t="s">
        <v>900</v>
      </c>
      <c r="P146" s="398" t="s">
        <v>574</v>
      </c>
    </row>
    <row r="147" spans="1:16" s="401" customFormat="1" ht="84">
      <c r="A147" s="452">
        <f t="shared" si="5"/>
        <v>144</v>
      </c>
      <c r="B147" s="387">
        <v>46037</v>
      </c>
      <c r="C147" s="388">
        <v>46024</v>
      </c>
      <c r="D147" s="389" t="s">
        <v>248</v>
      </c>
      <c r="E147" s="398" t="s">
        <v>608</v>
      </c>
      <c r="F147" s="404">
        <v>13646.74</v>
      </c>
      <c r="G147" s="397" t="s">
        <v>864</v>
      </c>
      <c r="H147" s="389" t="s">
        <v>1029</v>
      </c>
      <c r="I147" s="398" t="s">
        <v>645</v>
      </c>
      <c r="J147" s="399" t="s">
        <v>646</v>
      </c>
      <c r="K147" s="390" t="str">
        <f t="shared" si="6"/>
        <v>XXX460700001XX</v>
      </c>
      <c r="L147" s="391" t="s">
        <v>1996</v>
      </c>
      <c r="M147" s="398" t="s">
        <v>708</v>
      </c>
      <c r="N147" s="399">
        <v>1082025</v>
      </c>
      <c r="O147" s="399" t="s">
        <v>901</v>
      </c>
      <c r="P147" s="398" t="s">
        <v>574</v>
      </c>
    </row>
    <row r="148" spans="1:16" s="401" customFormat="1" ht="48">
      <c r="A148" s="452">
        <f t="shared" si="5"/>
        <v>145</v>
      </c>
      <c r="B148" s="387">
        <v>46037</v>
      </c>
      <c r="C148" s="388">
        <v>46024</v>
      </c>
      <c r="D148" s="389" t="s">
        <v>248</v>
      </c>
      <c r="E148" s="398" t="s">
        <v>608</v>
      </c>
      <c r="F148" s="404">
        <v>31668.43</v>
      </c>
      <c r="G148" s="397" t="s">
        <v>966</v>
      </c>
      <c r="H148" s="389" t="s">
        <v>1029</v>
      </c>
      <c r="I148" s="398" t="s">
        <v>645</v>
      </c>
      <c r="J148" s="399" t="s">
        <v>646</v>
      </c>
      <c r="K148" s="390" t="str">
        <f t="shared" si="6"/>
        <v>XXX460700001XX</v>
      </c>
      <c r="L148" s="391" t="s">
        <v>1996</v>
      </c>
      <c r="M148" s="398" t="s">
        <v>708</v>
      </c>
      <c r="N148" s="399">
        <v>1956</v>
      </c>
      <c r="O148" s="399" t="s">
        <v>900</v>
      </c>
      <c r="P148" s="398" t="s">
        <v>574</v>
      </c>
    </row>
    <row r="149" spans="1:16" s="401" customFormat="1" ht="72">
      <c r="A149" s="452">
        <f t="shared" si="5"/>
        <v>146</v>
      </c>
      <c r="B149" s="387">
        <v>46037</v>
      </c>
      <c r="C149" s="388">
        <v>46024</v>
      </c>
      <c r="D149" s="389" t="s">
        <v>248</v>
      </c>
      <c r="E149" s="398" t="s">
        <v>597</v>
      </c>
      <c r="F149" s="404">
        <v>3750</v>
      </c>
      <c r="G149" s="397" t="s">
        <v>948</v>
      </c>
      <c r="H149" s="389" t="s">
        <v>736</v>
      </c>
      <c r="I149" s="398" t="s">
        <v>692</v>
      </c>
      <c r="J149" s="399" t="s">
        <v>693</v>
      </c>
      <c r="K149" s="390" t="str">
        <f t="shared" si="6"/>
        <v>XXX917860001XX</v>
      </c>
      <c r="L149" s="391" t="s">
        <v>1996</v>
      </c>
      <c r="M149" s="398" t="s">
        <v>708</v>
      </c>
      <c r="N149" s="399">
        <v>50327620</v>
      </c>
      <c r="O149" s="399" t="s">
        <v>895</v>
      </c>
      <c r="P149" s="398" t="s">
        <v>574</v>
      </c>
    </row>
    <row r="150" spans="1:16" s="401" customFormat="1" ht="60">
      <c r="A150" s="452">
        <f t="shared" si="5"/>
        <v>147</v>
      </c>
      <c r="B150" s="387">
        <v>46037</v>
      </c>
      <c r="C150" s="388">
        <v>46024</v>
      </c>
      <c r="D150" s="389" t="s">
        <v>248</v>
      </c>
      <c r="E150" s="395" t="s">
        <v>78</v>
      </c>
      <c r="F150" s="404">
        <v>8395.4599999999991</v>
      </c>
      <c r="G150" s="397" t="s">
        <v>967</v>
      </c>
      <c r="H150" s="389" t="s">
        <v>1029</v>
      </c>
      <c r="I150" s="398" t="s">
        <v>658</v>
      </c>
      <c r="J150" s="399" t="s">
        <v>659</v>
      </c>
      <c r="K150" s="390" t="str">
        <f t="shared" si="6"/>
        <v>XXX694420001XX</v>
      </c>
      <c r="L150" s="391" t="s">
        <v>1996</v>
      </c>
      <c r="M150" s="398" t="s">
        <v>708</v>
      </c>
      <c r="N150" s="399">
        <v>262</v>
      </c>
      <c r="O150" s="399" t="s">
        <v>886</v>
      </c>
      <c r="P150" s="398" t="s">
        <v>574</v>
      </c>
    </row>
    <row r="151" spans="1:16" s="401" customFormat="1" ht="36">
      <c r="A151" s="452">
        <f t="shared" si="5"/>
        <v>148</v>
      </c>
      <c r="B151" s="387">
        <v>46037</v>
      </c>
      <c r="C151" s="388">
        <v>46024</v>
      </c>
      <c r="D151" s="389" t="s">
        <v>248</v>
      </c>
      <c r="E151" s="398" t="s">
        <v>599</v>
      </c>
      <c r="F151" s="404">
        <v>1125.6500000000001</v>
      </c>
      <c r="G151" s="397" t="s">
        <v>858</v>
      </c>
      <c r="H151" s="392" t="s">
        <v>736</v>
      </c>
      <c r="I151" s="398" t="s">
        <v>684</v>
      </c>
      <c r="J151" s="399" t="s">
        <v>685</v>
      </c>
      <c r="K151" s="390" t="str">
        <f t="shared" si="6"/>
        <v>XXX520390001XX</v>
      </c>
      <c r="L151" s="391" t="s">
        <v>1996</v>
      </c>
      <c r="M151" s="398" t="s">
        <v>708</v>
      </c>
      <c r="N151" s="399">
        <v>37</v>
      </c>
      <c r="O151" s="399" t="s">
        <v>899</v>
      </c>
      <c r="P151" s="398" t="s">
        <v>574</v>
      </c>
    </row>
    <row r="152" spans="1:16" s="401" customFormat="1" ht="36">
      <c r="A152" s="452">
        <f t="shared" si="5"/>
        <v>149</v>
      </c>
      <c r="B152" s="387">
        <v>46037</v>
      </c>
      <c r="C152" s="388">
        <v>46024</v>
      </c>
      <c r="D152" s="389" t="s">
        <v>248</v>
      </c>
      <c r="E152" s="398" t="s">
        <v>589</v>
      </c>
      <c r="F152" s="404">
        <v>324</v>
      </c>
      <c r="G152" s="397" t="s">
        <v>968</v>
      </c>
      <c r="H152" s="392" t="s">
        <v>736</v>
      </c>
      <c r="I152" s="398" t="s">
        <v>688</v>
      </c>
      <c r="J152" s="399" t="s">
        <v>689</v>
      </c>
      <c r="K152" s="390" t="str">
        <f t="shared" si="6"/>
        <v>XXX016540001XX</v>
      </c>
      <c r="L152" s="391" t="s">
        <v>1996</v>
      </c>
      <c r="M152" s="398" t="s">
        <v>708</v>
      </c>
      <c r="N152" s="399">
        <v>2112</v>
      </c>
      <c r="O152" s="399" t="s">
        <v>898</v>
      </c>
      <c r="P152" s="398" t="s">
        <v>574</v>
      </c>
    </row>
    <row r="153" spans="1:16" s="401" customFormat="1" ht="36">
      <c r="A153" s="452">
        <f t="shared" si="5"/>
        <v>150</v>
      </c>
      <c r="B153" s="387">
        <v>46037</v>
      </c>
      <c r="C153" s="388">
        <v>45993</v>
      </c>
      <c r="D153" s="389" t="s">
        <v>166</v>
      </c>
      <c r="E153" s="398" t="s">
        <v>603</v>
      </c>
      <c r="F153" s="404">
        <v>8947.74</v>
      </c>
      <c r="G153" s="397" t="s">
        <v>939</v>
      </c>
      <c r="H153" s="389" t="s">
        <v>166</v>
      </c>
      <c r="I153" s="398" t="s">
        <v>657</v>
      </c>
      <c r="J153" s="399" t="s">
        <v>656</v>
      </c>
      <c r="K153" s="390" t="str">
        <f t="shared" si="6"/>
        <v>XXX131780001XX</v>
      </c>
      <c r="L153" s="391" t="s">
        <v>1996</v>
      </c>
      <c r="M153" s="398" t="s">
        <v>704</v>
      </c>
      <c r="N153" s="399">
        <v>2025942615</v>
      </c>
      <c r="O153" s="399" t="s">
        <v>835</v>
      </c>
      <c r="P153" s="398" t="s">
        <v>572</v>
      </c>
    </row>
    <row r="154" spans="1:16" s="401" customFormat="1" ht="36">
      <c r="A154" s="452">
        <f t="shared" si="5"/>
        <v>151</v>
      </c>
      <c r="B154" s="387">
        <v>46037</v>
      </c>
      <c r="C154" s="388">
        <v>46024</v>
      </c>
      <c r="D154" s="389" t="s">
        <v>248</v>
      </c>
      <c r="E154" s="398" t="s">
        <v>599</v>
      </c>
      <c r="F154" s="404">
        <v>243.48</v>
      </c>
      <c r="G154" s="397" t="s">
        <v>811</v>
      </c>
      <c r="H154" s="392" t="s">
        <v>736</v>
      </c>
      <c r="I154" s="398" t="s">
        <v>684</v>
      </c>
      <c r="J154" s="399" t="s">
        <v>685</v>
      </c>
      <c r="K154" s="390" t="str">
        <f t="shared" si="6"/>
        <v>XXX520390001XX</v>
      </c>
      <c r="L154" s="391" t="s">
        <v>1996</v>
      </c>
      <c r="M154" s="398" t="s">
        <v>708</v>
      </c>
      <c r="N154" s="399">
        <v>38</v>
      </c>
      <c r="O154" s="399" t="s">
        <v>899</v>
      </c>
      <c r="P154" s="398" t="s">
        <v>574</v>
      </c>
    </row>
    <row r="155" spans="1:16" s="401" customFormat="1" ht="36">
      <c r="A155" s="452">
        <f t="shared" si="5"/>
        <v>152</v>
      </c>
      <c r="B155" s="387">
        <v>46037</v>
      </c>
      <c r="C155" s="388">
        <v>46024</v>
      </c>
      <c r="D155" s="389" t="s">
        <v>353</v>
      </c>
      <c r="E155" s="394" t="s">
        <v>153</v>
      </c>
      <c r="F155" s="404">
        <v>46113.9</v>
      </c>
      <c r="G155" s="397" t="s">
        <v>821</v>
      </c>
      <c r="H155" s="389" t="s">
        <v>280</v>
      </c>
      <c r="I155" s="394" t="s">
        <v>744</v>
      </c>
      <c r="J155" s="455">
        <v>7837375000150</v>
      </c>
      <c r="K155" s="390" t="str">
        <f t="shared" si="6"/>
        <v>XXX737500015XX</v>
      </c>
      <c r="L155" s="391" t="s">
        <v>1996</v>
      </c>
      <c r="M155" s="398" t="s">
        <v>706</v>
      </c>
      <c r="N155" s="399">
        <v>15012026</v>
      </c>
      <c r="O155" s="399" t="s">
        <v>902</v>
      </c>
      <c r="P155" s="398" t="s">
        <v>574</v>
      </c>
    </row>
    <row r="156" spans="1:16" s="401" customFormat="1" ht="36">
      <c r="A156" s="452">
        <f t="shared" si="5"/>
        <v>153</v>
      </c>
      <c r="B156" s="387">
        <v>46041</v>
      </c>
      <c r="C156" s="388">
        <v>45993</v>
      </c>
      <c r="D156" s="389" t="s">
        <v>248</v>
      </c>
      <c r="E156" s="398" t="s">
        <v>597</v>
      </c>
      <c r="F156" s="404">
        <v>6841.55</v>
      </c>
      <c r="G156" s="397" t="s">
        <v>969</v>
      </c>
      <c r="H156" s="389" t="s">
        <v>738</v>
      </c>
      <c r="I156" s="398" t="s">
        <v>698</v>
      </c>
      <c r="J156" s="399" t="s">
        <v>699</v>
      </c>
      <c r="K156" s="390" t="str">
        <f t="shared" si="6"/>
        <v>XXX553420010XX</v>
      </c>
      <c r="L156" s="391" t="s">
        <v>1996</v>
      </c>
      <c r="M156" s="398" t="s">
        <v>708</v>
      </c>
      <c r="N156" s="399">
        <v>728125</v>
      </c>
      <c r="O156" s="399" t="s">
        <v>854</v>
      </c>
      <c r="P156" s="398" t="s">
        <v>574</v>
      </c>
    </row>
    <row r="157" spans="1:16" s="401" customFormat="1" ht="84">
      <c r="A157" s="452">
        <f t="shared" si="5"/>
        <v>154</v>
      </c>
      <c r="B157" s="387">
        <v>46041</v>
      </c>
      <c r="C157" s="388">
        <v>45993</v>
      </c>
      <c r="D157" s="389" t="s">
        <v>248</v>
      </c>
      <c r="E157" s="395" t="s">
        <v>0</v>
      </c>
      <c r="F157" s="404">
        <v>726.04</v>
      </c>
      <c r="G157" s="397" t="s">
        <v>970</v>
      </c>
      <c r="H157" s="389" t="s">
        <v>278</v>
      </c>
      <c r="I157" s="398" t="s">
        <v>749</v>
      </c>
      <c r="J157" s="399" t="s">
        <v>750</v>
      </c>
      <c r="K157" s="390" t="str">
        <f t="shared" si="6"/>
        <v>XXX383040001XX</v>
      </c>
      <c r="L157" s="391" t="s">
        <v>1996</v>
      </c>
      <c r="M157" s="398" t="s">
        <v>704</v>
      </c>
      <c r="N157" s="399">
        <v>168546</v>
      </c>
      <c r="O157" s="399" t="s">
        <v>852</v>
      </c>
      <c r="P157" s="398" t="s">
        <v>574</v>
      </c>
    </row>
    <row r="158" spans="1:16" s="401" customFormat="1" ht="48">
      <c r="A158" s="452">
        <f t="shared" si="5"/>
        <v>155</v>
      </c>
      <c r="B158" s="387">
        <v>46041</v>
      </c>
      <c r="C158" s="388">
        <v>46024</v>
      </c>
      <c r="D158" s="389" t="s">
        <v>248</v>
      </c>
      <c r="E158" s="393" t="s">
        <v>167</v>
      </c>
      <c r="F158" s="404">
        <v>121.31</v>
      </c>
      <c r="G158" s="397" t="s">
        <v>971</v>
      </c>
      <c r="H158" s="389" t="s">
        <v>278</v>
      </c>
      <c r="I158" s="398" t="s">
        <v>666</v>
      </c>
      <c r="J158" s="399" t="s">
        <v>667</v>
      </c>
      <c r="K158" s="390" t="str">
        <f t="shared" si="6"/>
        <v>XXX085160001XX</v>
      </c>
      <c r="L158" s="391" t="s">
        <v>1996</v>
      </c>
      <c r="M158" s="398" t="s">
        <v>704</v>
      </c>
      <c r="N158" s="399">
        <v>525999403</v>
      </c>
      <c r="O158" s="399" t="s">
        <v>903</v>
      </c>
      <c r="P158" s="398" t="s">
        <v>574</v>
      </c>
    </row>
    <row r="159" spans="1:16" s="401" customFormat="1" ht="36">
      <c r="A159" s="452">
        <f t="shared" si="5"/>
        <v>156</v>
      </c>
      <c r="B159" s="387">
        <v>46041</v>
      </c>
      <c r="C159" s="388">
        <v>45993</v>
      </c>
      <c r="D159" s="389" t="s">
        <v>353</v>
      </c>
      <c r="E159" s="394" t="s">
        <v>334</v>
      </c>
      <c r="F159" s="404">
        <v>18075.32</v>
      </c>
      <c r="G159" s="397" t="s">
        <v>972</v>
      </c>
      <c r="H159" s="389" t="s">
        <v>280</v>
      </c>
      <c r="I159" s="394" t="s">
        <v>744</v>
      </c>
      <c r="J159" s="455">
        <v>7837375000150</v>
      </c>
      <c r="K159" s="390" t="str">
        <f t="shared" si="6"/>
        <v>XXX737500015XX</v>
      </c>
      <c r="L159" s="391" t="s">
        <v>1996</v>
      </c>
      <c r="M159" s="398" t="s">
        <v>707</v>
      </c>
      <c r="N159" s="399">
        <v>122025</v>
      </c>
      <c r="O159" s="399" t="s">
        <v>834</v>
      </c>
      <c r="P159" s="398" t="s">
        <v>574</v>
      </c>
    </row>
    <row r="160" spans="1:16" s="401" customFormat="1" ht="48">
      <c r="A160" s="452">
        <f t="shared" si="5"/>
        <v>157</v>
      </c>
      <c r="B160" s="387">
        <v>46041</v>
      </c>
      <c r="C160" s="388">
        <v>46024</v>
      </c>
      <c r="D160" s="389" t="s">
        <v>353</v>
      </c>
      <c r="E160" s="398" t="s">
        <v>587</v>
      </c>
      <c r="F160" s="404">
        <v>100</v>
      </c>
      <c r="G160" s="397" t="s">
        <v>954</v>
      </c>
      <c r="H160" s="389" t="s">
        <v>280</v>
      </c>
      <c r="I160" s="394" t="s">
        <v>744</v>
      </c>
      <c r="J160" s="455">
        <v>7837375000150</v>
      </c>
      <c r="K160" s="390" t="str">
        <f t="shared" si="6"/>
        <v>XXX737500015XX</v>
      </c>
      <c r="L160" s="391" t="s">
        <v>1996</v>
      </c>
      <c r="M160" s="398" t="s">
        <v>708</v>
      </c>
      <c r="N160" s="399">
        <v>12026</v>
      </c>
      <c r="O160" s="399" t="s">
        <v>904</v>
      </c>
      <c r="P160" s="398" t="s">
        <v>574</v>
      </c>
    </row>
    <row r="161" spans="1:16" s="401" customFormat="1" ht="48">
      <c r="A161" s="452">
        <f t="shared" si="5"/>
        <v>158</v>
      </c>
      <c r="B161" s="387">
        <v>46042</v>
      </c>
      <c r="C161" s="388">
        <v>45993</v>
      </c>
      <c r="D161" s="389" t="s">
        <v>248</v>
      </c>
      <c r="E161" s="398" t="s">
        <v>602</v>
      </c>
      <c r="F161" s="404">
        <v>41.25</v>
      </c>
      <c r="G161" s="397" t="s">
        <v>1908</v>
      </c>
      <c r="H161" s="389" t="s">
        <v>278</v>
      </c>
      <c r="I161" s="398" t="s">
        <v>668</v>
      </c>
      <c r="J161" s="399" t="s">
        <v>669</v>
      </c>
      <c r="K161" s="390" t="str">
        <f t="shared" si="6"/>
        <v>XXX077460001XX</v>
      </c>
      <c r="L161" s="391" t="s">
        <v>1996</v>
      </c>
      <c r="M161" s="398" t="s">
        <v>722</v>
      </c>
      <c r="N161" s="399">
        <v>37</v>
      </c>
      <c r="O161" s="399" t="s">
        <v>847</v>
      </c>
      <c r="P161" s="398" t="s">
        <v>574</v>
      </c>
    </row>
    <row r="162" spans="1:16" s="401" customFormat="1" ht="36">
      <c r="A162" s="452">
        <f t="shared" si="5"/>
        <v>159</v>
      </c>
      <c r="B162" s="387">
        <v>46042</v>
      </c>
      <c r="C162" s="388">
        <v>45993</v>
      </c>
      <c r="D162" s="389" t="s">
        <v>248</v>
      </c>
      <c r="E162" s="395" t="s">
        <v>78</v>
      </c>
      <c r="F162" s="404">
        <v>15.97</v>
      </c>
      <c r="G162" s="397" t="s">
        <v>1909</v>
      </c>
      <c r="H162" s="389" t="s">
        <v>278</v>
      </c>
      <c r="I162" s="398" t="s">
        <v>668</v>
      </c>
      <c r="J162" s="399" t="s">
        <v>669</v>
      </c>
      <c r="K162" s="390" t="str">
        <f t="shared" si="6"/>
        <v>XXX077460001XX</v>
      </c>
      <c r="L162" s="391" t="s">
        <v>1996</v>
      </c>
      <c r="M162" s="398" t="s">
        <v>722</v>
      </c>
      <c r="N162" s="399">
        <v>141</v>
      </c>
      <c r="O162" s="399" t="s">
        <v>842</v>
      </c>
      <c r="P162" s="398" t="s">
        <v>574</v>
      </c>
    </row>
    <row r="163" spans="1:16" s="401" customFormat="1" ht="36">
      <c r="A163" s="452">
        <f t="shared" si="5"/>
        <v>160</v>
      </c>
      <c r="B163" s="387">
        <v>46042</v>
      </c>
      <c r="C163" s="388">
        <v>45993</v>
      </c>
      <c r="D163" s="389" t="s">
        <v>248</v>
      </c>
      <c r="E163" s="395" t="s">
        <v>78</v>
      </c>
      <c r="F163" s="404">
        <v>175.7</v>
      </c>
      <c r="G163" s="397" t="s">
        <v>1890</v>
      </c>
      <c r="H163" s="389" t="s">
        <v>278</v>
      </c>
      <c r="I163" s="398" t="s">
        <v>672</v>
      </c>
      <c r="J163" s="399" t="s">
        <v>673</v>
      </c>
      <c r="K163" s="390" t="str">
        <f t="shared" si="6"/>
        <v>XXX944600058XX</v>
      </c>
      <c r="L163" s="391" t="s">
        <v>1996</v>
      </c>
      <c r="M163" s="398" t="s">
        <v>723</v>
      </c>
      <c r="N163" s="399">
        <v>141</v>
      </c>
      <c r="O163" s="399" t="s">
        <v>842</v>
      </c>
      <c r="P163" s="398" t="s">
        <v>574</v>
      </c>
    </row>
    <row r="164" spans="1:16" s="401" customFormat="1" ht="72">
      <c r="A164" s="452">
        <f t="shared" si="5"/>
        <v>161</v>
      </c>
      <c r="B164" s="387">
        <v>46042</v>
      </c>
      <c r="C164" s="388">
        <v>45993</v>
      </c>
      <c r="D164" s="389" t="s">
        <v>248</v>
      </c>
      <c r="E164" s="395" t="s">
        <v>87</v>
      </c>
      <c r="F164" s="404">
        <v>198.37</v>
      </c>
      <c r="G164" s="397" t="s">
        <v>973</v>
      </c>
      <c r="H164" s="389" t="s">
        <v>278</v>
      </c>
      <c r="I164" s="398" t="s">
        <v>674</v>
      </c>
      <c r="J164" s="399" t="s">
        <v>675</v>
      </c>
      <c r="K164" s="390" t="str">
        <f t="shared" si="6"/>
        <v>XXX414630001XX</v>
      </c>
      <c r="L164" s="391" t="s">
        <v>1996</v>
      </c>
      <c r="M164" s="398" t="s">
        <v>704</v>
      </c>
      <c r="N164" s="399">
        <v>240</v>
      </c>
      <c r="O164" s="399" t="s">
        <v>845</v>
      </c>
      <c r="P164" s="398" t="s">
        <v>574</v>
      </c>
    </row>
    <row r="165" spans="1:16" s="401" customFormat="1" ht="72">
      <c r="A165" s="452">
        <f t="shared" si="5"/>
        <v>162</v>
      </c>
      <c r="B165" s="387">
        <v>46042</v>
      </c>
      <c r="C165" s="388">
        <v>45993</v>
      </c>
      <c r="D165" s="389" t="s">
        <v>248</v>
      </c>
      <c r="E165" s="395" t="s">
        <v>78</v>
      </c>
      <c r="F165" s="404">
        <v>98.47</v>
      </c>
      <c r="G165" s="397" t="s">
        <v>1910</v>
      </c>
      <c r="H165" s="389" t="s">
        <v>1029</v>
      </c>
      <c r="I165" s="398" t="s">
        <v>668</v>
      </c>
      <c r="J165" s="399" t="s">
        <v>669</v>
      </c>
      <c r="K165" s="390" t="str">
        <f t="shared" si="6"/>
        <v>XXX077460001XX</v>
      </c>
      <c r="L165" s="391" t="s">
        <v>1996</v>
      </c>
      <c r="M165" s="398" t="s">
        <v>722</v>
      </c>
      <c r="N165" s="399">
        <v>92</v>
      </c>
      <c r="O165" s="399" t="s">
        <v>849</v>
      </c>
      <c r="P165" s="398" t="s">
        <v>574</v>
      </c>
    </row>
    <row r="166" spans="1:16" s="401" customFormat="1" ht="72">
      <c r="A166" s="452">
        <f t="shared" si="5"/>
        <v>163</v>
      </c>
      <c r="B166" s="387">
        <v>46042</v>
      </c>
      <c r="C166" s="388">
        <v>45993</v>
      </c>
      <c r="D166" s="389" t="s">
        <v>248</v>
      </c>
      <c r="E166" s="395" t="s">
        <v>78</v>
      </c>
      <c r="F166" s="404">
        <v>1083.23</v>
      </c>
      <c r="G166" s="397" t="s">
        <v>1891</v>
      </c>
      <c r="H166" s="389" t="s">
        <v>1029</v>
      </c>
      <c r="I166" s="398" t="s">
        <v>672</v>
      </c>
      <c r="J166" s="399" t="s">
        <v>673</v>
      </c>
      <c r="K166" s="390" t="str">
        <f t="shared" si="6"/>
        <v>XXX944600058XX</v>
      </c>
      <c r="L166" s="391" t="s">
        <v>1996</v>
      </c>
      <c r="M166" s="398" t="s">
        <v>723</v>
      </c>
      <c r="N166" s="399">
        <v>92</v>
      </c>
      <c r="O166" s="399" t="s">
        <v>849</v>
      </c>
      <c r="P166" s="398" t="s">
        <v>574</v>
      </c>
    </row>
    <row r="167" spans="1:16" s="401" customFormat="1" ht="132">
      <c r="A167" s="452">
        <f t="shared" si="5"/>
        <v>164</v>
      </c>
      <c r="B167" s="387">
        <v>46042</v>
      </c>
      <c r="C167" s="388">
        <v>45993</v>
      </c>
      <c r="D167" s="389" t="s">
        <v>248</v>
      </c>
      <c r="E167" s="398" t="s">
        <v>608</v>
      </c>
      <c r="F167" s="404">
        <v>315</v>
      </c>
      <c r="G167" s="397" t="s">
        <v>1911</v>
      </c>
      <c r="H167" s="389" t="s">
        <v>1029</v>
      </c>
      <c r="I167" s="398" t="s">
        <v>668</v>
      </c>
      <c r="J167" s="399" t="s">
        <v>669</v>
      </c>
      <c r="K167" s="390" t="str">
        <f t="shared" si="6"/>
        <v>XXX077460001XX</v>
      </c>
      <c r="L167" s="391" t="s">
        <v>1996</v>
      </c>
      <c r="M167" s="398" t="s">
        <v>722</v>
      </c>
      <c r="N167" s="399">
        <v>2093</v>
      </c>
      <c r="O167" s="399" t="s">
        <v>843</v>
      </c>
      <c r="P167" s="398" t="s">
        <v>574</v>
      </c>
    </row>
    <row r="168" spans="1:16" s="401" customFormat="1" ht="36">
      <c r="A168" s="452">
        <f t="shared" si="5"/>
        <v>165</v>
      </c>
      <c r="B168" s="387">
        <v>46042</v>
      </c>
      <c r="C168" s="388">
        <v>45993</v>
      </c>
      <c r="D168" s="389" t="s">
        <v>248</v>
      </c>
      <c r="E168" s="398" t="s">
        <v>602</v>
      </c>
      <c r="F168" s="404">
        <v>127.88</v>
      </c>
      <c r="G168" s="397" t="s">
        <v>1873</v>
      </c>
      <c r="H168" s="389" t="s">
        <v>278</v>
      </c>
      <c r="I168" s="398" t="s">
        <v>668</v>
      </c>
      <c r="J168" s="399" t="s">
        <v>669</v>
      </c>
      <c r="K168" s="390" t="str">
        <f t="shared" si="6"/>
        <v>XXX077460001XX</v>
      </c>
      <c r="L168" s="391" t="s">
        <v>1996</v>
      </c>
      <c r="M168" s="398" t="s">
        <v>721</v>
      </c>
      <c r="N168" s="399">
        <v>37</v>
      </c>
      <c r="O168" s="399" t="s">
        <v>847</v>
      </c>
      <c r="P168" s="398" t="s">
        <v>574</v>
      </c>
    </row>
    <row r="169" spans="1:16" s="401" customFormat="1" ht="72">
      <c r="A169" s="452">
        <f t="shared" si="5"/>
        <v>166</v>
      </c>
      <c r="B169" s="387">
        <v>46042</v>
      </c>
      <c r="C169" s="388">
        <v>45993</v>
      </c>
      <c r="D169" s="389" t="s">
        <v>248</v>
      </c>
      <c r="E169" s="395" t="s">
        <v>78</v>
      </c>
      <c r="F169" s="404">
        <v>457.89</v>
      </c>
      <c r="G169" s="397" t="s">
        <v>1875</v>
      </c>
      <c r="H169" s="389" t="s">
        <v>1029</v>
      </c>
      <c r="I169" s="398" t="s">
        <v>668</v>
      </c>
      <c r="J169" s="399" t="s">
        <v>669</v>
      </c>
      <c r="K169" s="390" t="str">
        <f t="shared" si="6"/>
        <v>XXX077460001XX</v>
      </c>
      <c r="L169" s="391" t="s">
        <v>1996</v>
      </c>
      <c r="M169" s="398" t="s">
        <v>721</v>
      </c>
      <c r="N169" s="399">
        <v>92</v>
      </c>
      <c r="O169" s="399" t="s">
        <v>849</v>
      </c>
      <c r="P169" s="398" t="s">
        <v>574</v>
      </c>
    </row>
    <row r="170" spans="1:16" s="401" customFormat="1" ht="36">
      <c r="A170" s="452">
        <f t="shared" si="5"/>
        <v>167</v>
      </c>
      <c r="B170" s="387">
        <v>46042</v>
      </c>
      <c r="C170" s="388">
        <v>45993</v>
      </c>
      <c r="D170" s="389" t="s">
        <v>248</v>
      </c>
      <c r="E170" s="395" t="s">
        <v>477</v>
      </c>
      <c r="F170" s="404">
        <v>180.11</v>
      </c>
      <c r="G170" s="433" t="s">
        <v>1876</v>
      </c>
      <c r="H170" s="389" t="s">
        <v>738</v>
      </c>
      <c r="I170" s="398" t="s">
        <v>668</v>
      </c>
      <c r="J170" s="399" t="s">
        <v>669</v>
      </c>
      <c r="K170" s="390" t="str">
        <f t="shared" si="6"/>
        <v>XXX077460001XX</v>
      </c>
      <c r="L170" s="391" t="s">
        <v>1996</v>
      </c>
      <c r="M170" s="398" t="s">
        <v>721</v>
      </c>
      <c r="N170" s="399">
        <v>122</v>
      </c>
      <c r="O170" s="399" t="s">
        <v>844</v>
      </c>
      <c r="P170" s="398" t="s">
        <v>574</v>
      </c>
    </row>
    <row r="171" spans="1:16" s="401" customFormat="1" ht="36">
      <c r="A171" s="452">
        <f t="shared" si="5"/>
        <v>168</v>
      </c>
      <c r="B171" s="387">
        <v>46042</v>
      </c>
      <c r="C171" s="388">
        <v>45993</v>
      </c>
      <c r="D171" s="389" t="s">
        <v>248</v>
      </c>
      <c r="E171" s="395" t="s">
        <v>78</v>
      </c>
      <c r="F171" s="404">
        <v>74.260000000000005</v>
      </c>
      <c r="G171" s="397" t="s">
        <v>1877</v>
      </c>
      <c r="H171" s="389" t="s">
        <v>278</v>
      </c>
      <c r="I171" s="398" t="s">
        <v>668</v>
      </c>
      <c r="J171" s="399" t="s">
        <v>669</v>
      </c>
      <c r="K171" s="390" t="str">
        <f t="shared" si="6"/>
        <v>XXX077460001XX</v>
      </c>
      <c r="L171" s="391" t="s">
        <v>1996</v>
      </c>
      <c r="M171" s="398" t="s">
        <v>721</v>
      </c>
      <c r="N171" s="399">
        <v>141</v>
      </c>
      <c r="O171" s="399" t="s">
        <v>842</v>
      </c>
      <c r="P171" s="398" t="s">
        <v>574</v>
      </c>
    </row>
    <row r="172" spans="1:16" s="401" customFormat="1" ht="36">
      <c r="A172" s="452">
        <f t="shared" si="5"/>
        <v>169</v>
      </c>
      <c r="B172" s="387">
        <v>46042</v>
      </c>
      <c r="C172" s="388">
        <v>45993</v>
      </c>
      <c r="D172" s="389" t="s">
        <v>248</v>
      </c>
      <c r="E172" s="398" t="s">
        <v>593</v>
      </c>
      <c r="F172" s="404">
        <v>5076.3500000000004</v>
      </c>
      <c r="G172" s="397" t="s">
        <v>1873</v>
      </c>
      <c r="H172" s="392" t="s">
        <v>736</v>
      </c>
      <c r="I172" s="398" t="s">
        <v>668</v>
      </c>
      <c r="J172" s="399" t="s">
        <v>669</v>
      </c>
      <c r="K172" s="390" t="str">
        <f t="shared" si="6"/>
        <v>XXX077460001XX</v>
      </c>
      <c r="L172" s="391" t="s">
        <v>1996</v>
      </c>
      <c r="M172" s="398" t="s">
        <v>721</v>
      </c>
      <c r="N172" s="399">
        <v>189</v>
      </c>
      <c r="O172" s="399" t="s">
        <v>839</v>
      </c>
      <c r="P172" s="398" t="s">
        <v>574</v>
      </c>
    </row>
    <row r="173" spans="1:16" s="401" customFormat="1" ht="36">
      <c r="A173" s="452">
        <f t="shared" si="5"/>
        <v>170</v>
      </c>
      <c r="B173" s="387">
        <v>46042</v>
      </c>
      <c r="C173" s="388">
        <v>45993</v>
      </c>
      <c r="D173" s="389" t="s">
        <v>248</v>
      </c>
      <c r="E173" s="398" t="s">
        <v>608</v>
      </c>
      <c r="F173" s="404">
        <v>976.5</v>
      </c>
      <c r="G173" s="397" t="s">
        <v>1873</v>
      </c>
      <c r="H173" s="389" t="s">
        <v>1029</v>
      </c>
      <c r="I173" s="398" t="s">
        <v>668</v>
      </c>
      <c r="J173" s="399" t="s">
        <v>669</v>
      </c>
      <c r="K173" s="390" t="str">
        <f t="shared" si="6"/>
        <v>XXX077460001XX</v>
      </c>
      <c r="L173" s="391" t="s">
        <v>1996</v>
      </c>
      <c r="M173" s="398" t="s">
        <v>721</v>
      </c>
      <c r="N173" s="399">
        <v>2093</v>
      </c>
      <c r="O173" s="399" t="s">
        <v>843</v>
      </c>
      <c r="P173" s="398" t="s">
        <v>574</v>
      </c>
    </row>
    <row r="174" spans="1:16" s="401" customFormat="1" ht="36">
      <c r="A174" s="452">
        <f t="shared" si="5"/>
        <v>171</v>
      </c>
      <c r="B174" s="387">
        <v>46042</v>
      </c>
      <c r="C174" s="388">
        <v>45963</v>
      </c>
      <c r="D174" s="389" t="s">
        <v>166</v>
      </c>
      <c r="E174" s="398" t="s">
        <v>603</v>
      </c>
      <c r="F174" s="404">
        <v>257.55</v>
      </c>
      <c r="G174" s="397" t="s">
        <v>1873</v>
      </c>
      <c r="H174" s="389" t="s">
        <v>166</v>
      </c>
      <c r="I174" s="398" t="s">
        <v>668</v>
      </c>
      <c r="J174" s="399" t="s">
        <v>669</v>
      </c>
      <c r="K174" s="390" t="str">
        <f t="shared" si="6"/>
        <v>XXX077460001XX</v>
      </c>
      <c r="L174" s="391" t="s">
        <v>1996</v>
      </c>
      <c r="M174" s="398" t="s">
        <v>721</v>
      </c>
      <c r="N174" s="399">
        <v>2025857206</v>
      </c>
      <c r="O174" s="399" t="s">
        <v>822</v>
      </c>
      <c r="P174" s="398" t="s">
        <v>574</v>
      </c>
    </row>
    <row r="175" spans="1:16" s="401" customFormat="1" ht="36">
      <c r="A175" s="452">
        <f t="shared" si="5"/>
        <v>172</v>
      </c>
      <c r="B175" s="387">
        <v>46042</v>
      </c>
      <c r="C175" s="388">
        <v>45993</v>
      </c>
      <c r="D175" s="389" t="s">
        <v>248</v>
      </c>
      <c r="E175" s="398" t="s">
        <v>595</v>
      </c>
      <c r="F175" s="404">
        <v>162.75</v>
      </c>
      <c r="G175" s="397" t="s">
        <v>1873</v>
      </c>
      <c r="H175" s="389" t="s">
        <v>278</v>
      </c>
      <c r="I175" s="398" t="s">
        <v>668</v>
      </c>
      <c r="J175" s="399" t="s">
        <v>669</v>
      </c>
      <c r="K175" s="390" t="str">
        <f t="shared" si="6"/>
        <v>XXX077460001XX</v>
      </c>
      <c r="L175" s="391" t="s">
        <v>1996</v>
      </c>
      <c r="M175" s="398" t="s">
        <v>721</v>
      </c>
      <c r="N175" s="399">
        <v>3540</v>
      </c>
      <c r="O175" s="399" t="s">
        <v>847</v>
      </c>
      <c r="P175" s="398" t="s">
        <v>574</v>
      </c>
    </row>
    <row r="176" spans="1:16" s="401" customFormat="1" ht="36">
      <c r="A176" s="452">
        <f t="shared" si="5"/>
        <v>173</v>
      </c>
      <c r="B176" s="387">
        <v>46042</v>
      </c>
      <c r="C176" s="388">
        <v>45993</v>
      </c>
      <c r="D176" s="389" t="s">
        <v>248</v>
      </c>
      <c r="E176" s="398" t="s">
        <v>604</v>
      </c>
      <c r="F176" s="404">
        <v>918.11</v>
      </c>
      <c r="G176" s="397" t="s">
        <v>1873</v>
      </c>
      <c r="H176" s="389" t="s">
        <v>1029</v>
      </c>
      <c r="I176" s="398" t="s">
        <v>668</v>
      </c>
      <c r="J176" s="399" t="s">
        <v>669</v>
      </c>
      <c r="K176" s="390" t="str">
        <f t="shared" si="6"/>
        <v>XXX077460001XX</v>
      </c>
      <c r="L176" s="391" t="s">
        <v>1996</v>
      </c>
      <c r="M176" s="398" t="s">
        <v>721</v>
      </c>
      <c r="N176" s="399">
        <v>2236720</v>
      </c>
      <c r="O176" s="399" t="s">
        <v>853</v>
      </c>
      <c r="P176" s="398" t="s">
        <v>574</v>
      </c>
    </row>
    <row r="177" spans="1:16" s="401" customFormat="1" ht="36">
      <c r="A177" s="452">
        <f t="shared" si="5"/>
        <v>174</v>
      </c>
      <c r="B177" s="387">
        <v>46042</v>
      </c>
      <c r="C177" s="388">
        <v>45993</v>
      </c>
      <c r="D177" s="389" t="s">
        <v>248</v>
      </c>
      <c r="E177" s="398" t="s">
        <v>595</v>
      </c>
      <c r="F177" s="404">
        <v>383</v>
      </c>
      <c r="G177" s="397" t="s">
        <v>1873</v>
      </c>
      <c r="H177" s="389" t="s">
        <v>278</v>
      </c>
      <c r="I177" s="398" t="s">
        <v>668</v>
      </c>
      <c r="J177" s="399" t="s">
        <v>669</v>
      </c>
      <c r="K177" s="390" t="str">
        <f t="shared" si="6"/>
        <v>XXX077460001XX</v>
      </c>
      <c r="L177" s="391" t="s">
        <v>1996</v>
      </c>
      <c r="M177" s="398" t="s">
        <v>721</v>
      </c>
      <c r="N177" s="399">
        <v>19768</v>
      </c>
      <c r="O177" s="399" t="s">
        <v>844</v>
      </c>
      <c r="P177" s="398" t="s">
        <v>574</v>
      </c>
    </row>
    <row r="178" spans="1:16" s="401" customFormat="1" ht="36">
      <c r="A178" s="452">
        <f t="shared" si="5"/>
        <v>175</v>
      </c>
      <c r="B178" s="387">
        <v>46042</v>
      </c>
      <c r="C178" s="388">
        <v>45993</v>
      </c>
      <c r="D178" s="389" t="s">
        <v>248</v>
      </c>
      <c r="E178" s="395" t="s">
        <v>455</v>
      </c>
      <c r="F178" s="404">
        <v>2243.87</v>
      </c>
      <c r="G178" s="397" t="s">
        <v>1873</v>
      </c>
      <c r="H178" s="389" t="s">
        <v>738</v>
      </c>
      <c r="I178" s="398" t="s">
        <v>668</v>
      </c>
      <c r="J178" s="399" t="s">
        <v>669</v>
      </c>
      <c r="K178" s="390" t="str">
        <f t="shared" si="6"/>
        <v>XXX077460001XX</v>
      </c>
      <c r="L178" s="391" t="s">
        <v>1996</v>
      </c>
      <c r="M178" s="398" t="s">
        <v>721</v>
      </c>
      <c r="N178" s="399">
        <v>19768</v>
      </c>
      <c r="O178" s="399" t="s">
        <v>844</v>
      </c>
      <c r="P178" s="398" t="s">
        <v>574</v>
      </c>
    </row>
    <row r="179" spans="1:16" s="401" customFormat="1" ht="36">
      <c r="A179" s="452">
        <f t="shared" si="5"/>
        <v>176</v>
      </c>
      <c r="B179" s="387">
        <v>46042</v>
      </c>
      <c r="C179" s="388">
        <v>45963</v>
      </c>
      <c r="D179" s="389" t="s">
        <v>166</v>
      </c>
      <c r="E179" s="394" t="s">
        <v>163</v>
      </c>
      <c r="F179" s="404">
        <v>28.26</v>
      </c>
      <c r="G179" s="397" t="s">
        <v>1873</v>
      </c>
      <c r="H179" s="389" t="s">
        <v>166</v>
      </c>
      <c r="I179" s="398" t="s">
        <v>668</v>
      </c>
      <c r="J179" s="399" t="s">
        <v>669</v>
      </c>
      <c r="K179" s="390" t="str">
        <f t="shared" si="6"/>
        <v>XXX077460001XX</v>
      </c>
      <c r="L179" s="391" t="s">
        <v>1996</v>
      </c>
      <c r="M179" s="398" t="s">
        <v>721</v>
      </c>
      <c r="N179" s="399">
        <v>202525590</v>
      </c>
      <c r="O179" s="399" t="s">
        <v>824</v>
      </c>
      <c r="P179" s="398" t="s">
        <v>574</v>
      </c>
    </row>
    <row r="180" spans="1:16" s="401" customFormat="1" ht="36">
      <c r="A180" s="452">
        <f t="shared" si="5"/>
        <v>177</v>
      </c>
      <c r="B180" s="387">
        <v>46042</v>
      </c>
      <c r="C180" s="388">
        <v>45963</v>
      </c>
      <c r="D180" s="389" t="s">
        <v>166</v>
      </c>
      <c r="E180" s="394" t="s">
        <v>163</v>
      </c>
      <c r="F180" s="404">
        <v>33</v>
      </c>
      <c r="G180" s="397" t="s">
        <v>1873</v>
      </c>
      <c r="H180" s="389" t="s">
        <v>166</v>
      </c>
      <c r="I180" s="398" t="s">
        <v>668</v>
      </c>
      <c r="J180" s="399" t="s">
        <v>669</v>
      </c>
      <c r="K180" s="390" t="str">
        <f t="shared" ref="K180:K202" si="7">IF(J180="","",IF(LEN(J180)&gt;14,IF(ISBLANK(J180),"",J180),REPLACE(REPLACE(J180,1,3,"XXX"),13,2,"XX")))</f>
        <v>XXX077460001XX</v>
      </c>
      <c r="L180" s="391" t="s">
        <v>1996</v>
      </c>
      <c r="M180" s="398" t="s">
        <v>721</v>
      </c>
      <c r="N180" s="399">
        <v>202525587</v>
      </c>
      <c r="O180" s="399" t="s">
        <v>824</v>
      </c>
      <c r="P180" s="398" t="s">
        <v>574</v>
      </c>
    </row>
    <row r="181" spans="1:16" s="401" customFormat="1" ht="36">
      <c r="A181" s="452">
        <f t="shared" si="5"/>
        <v>178</v>
      </c>
      <c r="B181" s="387">
        <v>46042</v>
      </c>
      <c r="C181" s="388">
        <v>45963</v>
      </c>
      <c r="D181" s="389" t="s">
        <v>248</v>
      </c>
      <c r="E181" s="393" t="s">
        <v>164</v>
      </c>
      <c r="F181" s="404">
        <v>78.55</v>
      </c>
      <c r="G181" s="397" t="s">
        <v>1873</v>
      </c>
      <c r="H181" s="389" t="s">
        <v>278</v>
      </c>
      <c r="I181" s="398" t="s">
        <v>668</v>
      </c>
      <c r="J181" s="399" t="s">
        <v>669</v>
      </c>
      <c r="K181" s="390" t="str">
        <f t="shared" si="7"/>
        <v>XXX077460001XX</v>
      </c>
      <c r="L181" s="391" t="s">
        <v>1996</v>
      </c>
      <c r="M181" s="398" t="s">
        <v>721</v>
      </c>
      <c r="N181" s="399">
        <v>4176772</v>
      </c>
      <c r="O181" s="399" t="s">
        <v>823</v>
      </c>
      <c r="P181" s="398" t="s">
        <v>574</v>
      </c>
    </row>
    <row r="182" spans="1:16" s="401" customFormat="1" ht="36">
      <c r="A182" s="452">
        <f t="shared" si="5"/>
        <v>179</v>
      </c>
      <c r="B182" s="387">
        <v>46042</v>
      </c>
      <c r="C182" s="388">
        <v>45963</v>
      </c>
      <c r="D182" s="389" t="s">
        <v>248</v>
      </c>
      <c r="E182" s="393" t="s">
        <v>164</v>
      </c>
      <c r="F182" s="404">
        <v>25.06</v>
      </c>
      <c r="G182" s="397" t="s">
        <v>1873</v>
      </c>
      <c r="H182" s="389" t="s">
        <v>278</v>
      </c>
      <c r="I182" s="398" t="s">
        <v>668</v>
      </c>
      <c r="J182" s="399" t="s">
        <v>669</v>
      </c>
      <c r="K182" s="390" t="str">
        <f t="shared" si="7"/>
        <v>XXX077460001XX</v>
      </c>
      <c r="L182" s="391" t="s">
        <v>1996</v>
      </c>
      <c r="M182" s="398" t="s">
        <v>721</v>
      </c>
      <c r="N182" s="399">
        <v>7624</v>
      </c>
      <c r="O182" s="399" t="s">
        <v>825</v>
      </c>
      <c r="P182" s="398" t="s">
        <v>574</v>
      </c>
    </row>
    <row r="183" spans="1:16" s="401" customFormat="1" ht="36">
      <c r="A183" s="452">
        <f t="shared" si="5"/>
        <v>180</v>
      </c>
      <c r="B183" s="387">
        <v>46042</v>
      </c>
      <c r="C183" s="388">
        <v>45993</v>
      </c>
      <c r="D183" s="389" t="s">
        <v>248</v>
      </c>
      <c r="E183" s="393" t="s">
        <v>164</v>
      </c>
      <c r="F183" s="404">
        <v>18.45</v>
      </c>
      <c r="G183" s="397" t="s">
        <v>1912</v>
      </c>
      <c r="H183" s="389" t="s">
        <v>278</v>
      </c>
      <c r="I183" s="398" t="s">
        <v>668</v>
      </c>
      <c r="J183" s="399" t="s">
        <v>669</v>
      </c>
      <c r="K183" s="390" t="str">
        <f t="shared" si="7"/>
        <v>XXX077460001XX</v>
      </c>
      <c r="L183" s="391" t="s">
        <v>1996</v>
      </c>
      <c r="M183" s="398" t="s">
        <v>722</v>
      </c>
      <c r="N183" s="399">
        <v>7681</v>
      </c>
      <c r="O183" s="399" t="s">
        <v>850</v>
      </c>
      <c r="P183" s="398" t="s">
        <v>574</v>
      </c>
    </row>
    <row r="184" spans="1:16" s="401" customFormat="1" ht="36">
      <c r="A184" s="452">
        <f t="shared" si="5"/>
        <v>181</v>
      </c>
      <c r="B184" s="387">
        <v>46042</v>
      </c>
      <c r="C184" s="388">
        <v>45993</v>
      </c>
      <c r="D184" s="389" t="s">
        <v>166</v>
      </c>
      <c r="E184" s="394" t="s">
        <v>163</v>
      </c>
      <c r="F184" s="404">
        <v>10.34</v>
      </c>
      <c r="G184" s="397" t="s">
        <v>1913</v>
      </c>
      <c r="H184" s="389" t="s">
        <v>166</v>
      </c>
      <c r="I184" s="398" t="s">
        <v>668</v>
      </c>
      <c r="J184" s="399" t="s">
        <v>669</v>
      </c>
      <c r="K184" s="390" t="str">
        <f t="shared" si="7"/>
        <v>XXX077460001XX</v>
      </c>
      <c r="L184" s="391" t="s">
        <v>1996</v>
      </c>
      <c r="M184" s="398" t="s">
        <v>722</v>
      </c>
      <c r="N184" s="399">
        <v>2220</v>
      </c>
      <c r="O184" s="399" t="s">
        <v>846</v>
      </c>
      <c r="P184" s="398" t="s">
        <v>574</v>
      </c>
    </row>
    <row r="185" spans="1:16" s="401" customFormat="1" ht="36">
      <c r="A185" s="452">
        <f t="shared" si="5"/>
        <v>182</v>
      </c>
      <c r="B185" s="387">
        <v>46042</v>
      </c>
      <c r="C185" s="388">
        <v>46024</v>
      </c>
      <c r="D185" s="389" t="s">
        <v>248</v>
      </c>
      <c r="E185" s="398" t="s">
        <v>590</v>
      </c>
      <c r="F185" s="404">
        <v>38.89</v>
      </c>
      <c r="G185" s="397" t="s">
        <v>815</v>
      </c>
      <c r="H185" s="392" t="s">
        <v>736</v>
      </c>
      <c r="I185" s="398" t="s">
        <v>670</v>
      </c>
      <c r="J185" s="399" t="s">
        <v>671</v>
      </c>
      <c r="K185" s="390" t="str">
        <f t="shared" si="7"/>
        <v>XXX902520003XX</v>
      </c>
      <c r="L185" s="391" t="s">
        <v>1996</v>
      </c>
      <c r="M185" s="398" t="s">
        <v>704</v>
      </c>
      <c r="N185" s="399">
        <v>231693</v>
      </c>
      <c r="O185" s="399" t="s">
        <v>884</v>
      </c>
      <c r="P185" s="398" t="s">
        <v>574</v>
      </c>
    </row>
    <row r="186" spans="1:16" s="401" customFormat="1" ht="48">
      <c r="A186" s="452">
        <f t="shared" si="5"/>
        <v>183</v>
      </c>
      <c r="B186" s="387">
        <v>46042</v>
      </c>
      <c r="C186" s="388">
        <v>46024</v>
      </c>
      <c r="D186" s="389" t="s">
        <v>248</v>
      </c>
      <c r="E186" s="398" t="s">
        <v>590</v>
      </c>
      <c r="F186" s="404">
        <v>87.38</v>
      </c>
      <c r="G186" s="397" t="s">
        <v>820</v>
      </c>
      <c r="H186" s="392" t="s">
        <v>736</v>
      </c>
      <c r="I186" s="398" t="s">
        <v>670</v>
      </c>
      <c r="J186" s="399" t="s">
        <v>671</v>
      </c>
      <c r="K186" s="390" t="str">
        <f t="shared" si="7"/>
        <v>XXX902520003XX</v>
      </c>
      <c r="L186" s="391" t="s">
        <v>1996</v>
      </c>
      <c r="M186" s="398" t="s">
        <v>704</v>
      </c>
      <c r="N186" s="399">
        <v>230890</v>
      </c>
      <c r="O186" s="399" t="s">
        <v>884</v>
      </c>
      <c r="P186" s="398" t="s">
        <v>574</v>
      </c>
    </row>
    <row r="187" spans="1:16" s="401" customFormat="1" ht="36">
      <c r="A187" s="452">
        <f t="shared" si="5"/>
        <v>184</v>
      </c>
      <c r="B187" s="387">
        <v>46042</v>
      </c>
      <c r="C187" s="388">
        <v>45993</v>
      </c>
      <c r="D187" s="389" t="s">
        <v>248</v>
      </c>
      <c r="E187" s="398" t="s">
        <v>590</v>
      </c>
      <c r="F187" s="404">
        <v>843.65</v>
      </c>
      <c r="G187" s="397" t="s">
        <v>816</v>
      </c>
      <c r="H187" s="392" t="s">
        <v>736</v>
      </c>
      <c r="I187" s="398" t="s">
        <v>670</v>
      </c>
      <c r="J187" s="399" t="s">
        <v>671</v>
      </c>
      <c r="K187" s="390" t="str">
        <f t="shared" si="7"/>
        <v>XXX902520003XX</v>
      </c>
      <c r="L187" s="391" t="s">
        <v>1996</v>
      </c>
      <c r="M187" s="398" t="s">
        <v>704</v>
      </c>
      <c r="N187" s="399">
        <v>220618</v>
      </c>
      <c r="O187" s="399" t="s">
        <v>840</v>
      </c>
      <c r="P187" s="398" t="s">
        <v>574</v>
      </c>
    </row>
    <row r="188" spans="1:16" s="401" customFormat="1" ht="36">
      <c r="A188" s="452">
        <f t="shared" si="5"/>
        <v>185</v>
      </c>
      <c r="B188" s="387">
        <v>46042</v>
      </c>
      <c r="C188" s="388">
        <v>45993</v>
      </c>
      <c r="D188" s="389" t="s">
        <v>248</v>
      </c>
      <c r="E188" s="398" t="s">
        <v>590</v>
      </c>
      <c r="F188" s="404">
        <v>649.22</v>
      </c>
      <c r="G188" s="397" t="s">
        <v>815</v>
      </c>
      <c r="H188" s="392" t="s">
        <v>736</v>
      </c>
      <c r="I188" s="398" t="s">
        <v>670</v>
      </c>
      <c r="J188" s="399" t="s">
        <v>671</v>
      </c>
      <c r="K188" s="390" t="str">
        <f t="shared" si="7"/>
        <v>XXX902520003XX</v>
      </c>
      <c r="L188" s="391" t="s">
        <v>1996</v>
      </c>
      <c r="M188" s="398" t="s">
        <v>704</v>
      </c>
      <c r="N188" s="399">
        <v>217942</v>
      </c>
      <c r="O188" s="399" t="s">
        <v>836</v>
      </c>
      <c r="P188" s="398" t="s">
        <v>574</v>
      </c>
    </row>
    <row r="189" spans="1:16" s="401" customFormat="1" ht="48">
      <c r="A189" s="452">
        <f t="shared" si="5"/>
        <v>186</v>
      </c>
      <c r="B189" s="387">
        <v>46042</v>
      </c>
      <c r="C189" s="388">
        <v>45963</v>
      </c>
      <c r="D189" s="389" t="s">
        <v>248</v>
      </c>
      <c r="E189" s="398" t="s">
        <v>590</v>
      </c>
      <c r="F189" s="404">
        <v>976.88</v>
      </c>
      <c r="G189" s="397" t="s">
        <v>820</v>
      </c>
      <c r="H189" s="392" t="s">
        <v>736</v>
      </c>
      <c r="I189" s="398" t="s">
        <v>670</v>
      </c>
      <c r="J189" s="399" t="s">
        <v>671</v>
      </c>
      <c r="K189" s="390" t="str">
        <f t="shared" si="7"/>
        <v>XXX902520003XX</v>
      </c>
      <c r="L189" s="391" t="s">
        <v>1996</v>
      </c>
      <c r="M189" s="398" t="s">
        <v>704</v>
      </c>
      <c r="N189" s="399">
        <v>212393</v>
      </c>
      <c r="O189" s="399" t="s">
        <v>826</v>
      </c>
      <c r="P189" s="398" t="s">
        <v>574</v>
      </c>
    </row>
    <row r="190" spans="1:16" s="401" customFormat="1" ht="36">
      <c r="A190" s="452">
        <f t="shared" si="5"/>
        <v>187</v>
      </c>
      <c r="B190" s="387">
        <v>46042</v>
      </c>
      <c r="C190" s="388">
        <v>46024</v>
      </c>
      <c r="D190" s="389" t="s">
        <v>248</v>
      </c>
      <c r="E190" s="395" t="s">
        <v>171</v>
      </c>
      <c r="F190" s="404">
        <v>550.14</v>
      </c>
      <c r="G190" s="397" t="s">
        <v>974</v>
      </c>
      <c r="H190" s="389" t="s">
        <v>278</v>
      </c>
      <c r="I190" s="398" t="s">
        <v>676</v>
      </c>
      <c r="J190" s="399" t="s">
        <v>677</v>
      </c>
      <c r="K190" s="390" t="str">
        <f t="shared" si="7"/>
        <v>XXX432920001XX</v>
      </c>
      <c r="L190" s="391" t="s">
        <v>1996</v>
      </c>
      <c r="M190" s="398" t="s">
        <v>704</v>
      </c>
      <c r="N190" s="399">
        <v>116</v>
      </c>
      <c r="O190" s="399" t="s">
        <v>905</v>
      </c>
      <c r="P190" s="398" t="s">
        <v>574</v>
      </c>
    </row>
    <row r="191" spans="1:16" s="401" customFormat="1" ht="72">
      <c r="A191" s="452">
        <f t="shared" si="5"/>
        <v>188</v>
      </c>
      <c r="B191" s="387">
        <v>46042</v>
      </c>
      <c r="C191" s="388">
        <v>46024</v>
      </c>
      <c r="D191" s="389" t="s">
        <v>248</v>
      </c>
      <c r="E191" s="398" t="s">
        <v>610</v>
      </c>
      <c r="F191" s="404">
        <v>3850.68</v>
      </c>
      <c r="G191" s="397" t="s">
        <v>975</v>
      </c>
      <c r="H191" s="392" t="s">
        <v>736</v>
      </c>
      <c r="I191" s="398" t="s">
        <v>686</v>
      </c>
      <c r="J191" s="399" t="s">
        <v>687</v>
      </c>
      <c r="K191" s="390" t="str">
        <f t="shared" si="7"/>
        <v>XXX900500001XX</v>
      </c>
      <c r="L191" s="391" t="s">
        <v>1996</v>
      </c>
      <c r="M191" s="398" t="s">
        <v>719</v>
      </c>
      <c r="N191" s="399">
        <v>37072</v>
      </c>
      <c r="O191" s="399" t="s">
        <v>905</v>
      </c>
      <c r="P191" s="398" t="s">
        <v>868</v>
      </c>
    </row>
    <row r="192" spans="1:16" s="401" customFormat="1" ht="36">
      <c r="A192" s="452">
        <f t="shared" si="5"/>
        <v>189</v>
      </c>
      <c r="B192" s="387">
        <v>46042</v>
      </c>
      <c r="C192" s="388">
        <v>45993</v>
      </c>
      <c r="D192" s="389" t="s">
        <v>166</v>
      </c>
      <c r="E192" s="398" t="s">
        <v>603</v>
      </c>
      <c r="F192" s="404">
        <v>65.28</v>
      </c>
      <c r="G192" s="397" t="s">
        <v>1914</v>
      </c>
      <c r="H192" s="389" t="s">
        <v>166</v>
      </c>
      <c r="I192" s="398" t="s">
        <v>668</v>
      </c>
      <c r="J192" s="399" t="s">
        <v>669</v>
      </c>
      <c r="K192" s="390" t="str">
        <f t="shared" si="7"/>
        <v>XXX077460001XX</v>
      </c>
      <c r="L192" s="391" t="s">
        <v>1996</v>
      </c>
      <c r="M192" s="398" t="s">
        <v>724</v>
      </c>
      <c r="N192" s="399">
        <v>2025942615</v>
      </c>
      <c r="O192" s="399" t="s">
        <v>835</v>
      </c>
      <c r="P192" s="398" t="s">
        <v>572</v>
      </c>
    </row>
    <row r="193" spans="1:16" s="401" customFormat="1" ht="36">
      <c r="A193" s="452">
        <f t="shared" si="5"/>
        <v>190</v>
      </c>
      <c r="B193" s="387">
        <v>46042</v>
      </c>
      <c r="C193" s="388">
        <v>45993</v>
      </c>
      <c r="D193" s="389" t="s">
        <v>248</v>
      </c>
      <c r="E193" s="393" t="s">
        <v>164</v>
      </c>
      <c r="F193" s="404">
        <v>57.2</v>
      </c>
      <c r="G193" s="397" t="s">
        <v>1878</v>
      </c>
      <c r="H193" s="389" t="s">
        <v>278</v>
      </c>
      <c r="I193" s="398" t="s">
        <v>668</v>
      </c>
      <c r="J193" s="399" t="s">
        <v>669</v>
      </c>
      <c r="K193" s="390" t="str">
        <f t="shared" si="7"/>
        <v>XXX077460001XX</v>
      </c>
      <c r="L193" s="391" t="s">
        <v>1996</v>
      </c>
      <c r="M193" s="398" t="s">
        <v>721</v>
      </c>
      <c r="N193" s="399">
        <v>7681</v>
      </c>
      <c r="O193" s="399" t="s">
        <v>850</v>
      </c>
      <c r="P193" s="398" t="s">
        <v>574</v>
      </c>
    </row>
    <row r="194" spans="1:16" s="401" customFormat="1" ht="36">
      <c r="A194" s="452">
        <f t="shared" si="5"/>
        <v>191</v>
      </c>
      <c r="B194" s="387">
        <v>46042</v>
      </c>
      <c r="C194" s="388">
        <v>45993</v>
      </c>
      <c r="D194" s="389" t="s">
        <v>166</v>
      </c>
      <c r="E194" s="394" t="s">
        <v>245</v>
      </c>
      <c r="F194" s="404">
        <v>12918.88</v>
      </c>
      <c r="G194" s="397" t="s">
        <v>976</v>
      </c>
      <c r="H194" s="389" t="s">
        <v>166</v>
      </c>
      <c r="I194" s="398" t="s">
        <v>668</v>
      </c>
      <c r="J194" s="399" t="s">
        <v>669</v>
      </c>
      <c r="K194" s="390" t="str">
        <f t="shared" si="7"/>
        <v>XXX077460001XX</v>
      </c>
      <c r="L194" s="391" t="s">
        <v>1996</v>
      </c>
      <c r="M194" s="398" t="s">
        <v>725</v>
      </c>
      <c r="N194" s="399">
        <v>83011225</v>
      </c>
      <c r="O194" s="399" t="s">
        <v>834</v>
      </c>
      <c r="P194" s="398" t="s">
        <v>574</v>
      </c>
    </row>
    <row r="195" spans="1:16" s="401" customFormat="1" ht="36">
      <c r="A195" s="452">
        <f t="shared" si="5"/>
        <v>192</v>
      </c>
      <c r="B195" s="387">
        <v>46042</v>
      </c>
      <c r="C195" s="388">
        <v>46024</v>
      </c>
      <c r="D195" s="389" t="s">
        <v>166</v>
      </c>
      <c r="E195" s="394" t="s">
        <v>1</v>
      </c>
      <c r="F195" s="404">
        <v>213969.73</v>
      </c>
      <c r="G195" s="397" t="s">
        <v>977</v>
      </c>
      <c r="H195" s="389" t="s">
        <v>166</v>
      </c>
      <c r="I195" s="398" t="s">
        <v>672</v>
      </c>
      <c r="J195" s="399" t="s">
        <v>673</v>
      </c>
      <c r="K195" s="390" t="str">
        <f t="shared" si="7"/>
        <v>XXX944600058XX</v>
      </c>
      <c r="L195" s="391" t="s">
        <v>1996</v>
      </c>
      <c r="M195" s="398" t="s">
        <v>723</v>
      </c>
      <c r="N195" s="399">
        <v>2100</v>
      </c>
      <c r="O195" s="399" t="s">
        <v>578</v>
      </c>
      <c r="P195" s="398" t="s">
        <v>574</v>
      </c>
    </row>
    <row r="196" spans="1:16" s="401" customFormat="1" ht="36">
      <c r="A196" s="452">
        <f t="shared" ref="A196:A259" si="8">IF(B196="","",ROW()-ROW($A$3))</f>
        <v>193</v>
      </c>
      <c r="B196" s="387">
        <v>46042</v>
      </c>
      <c r="C196" s="388">
        <v>45993</v>
      </c>
      <c r="D196" s="389" t="s">
        <v>166</v>
      </c>
      <c r="E196" s="394" t="s">
        <v>234</v>
      </c>
      <c r="F196" s="404">
        <v>455545.02</v>
      </c>
      <c r="G196" s="397" t="s">
        <v>978</v>
      </c>
      <c r="H196" s="389" t="s">
        <v>166</v>
      </c>
      <c r="I196" s="398" t="s">
        <v>668</v>
      </c>
      <c r="J196" s="399" t="s">
        <v>669</v>
      </c>
      <c r="K196" s="390" t="str">
        <f t="shared" si="7"/>
        <v>XXX077460001XX</v>
      </c>
      <c r="L196" s="391" t="s">
        <v>1996</v>
      </c>
      <c r="M196" s="398" t="s">
        <v>723</v>
      </c>
      <c r="N196" s="399">
        <v>2100</v>
      </c>
      <c r="O196" s="399" t="s">
        <v>834</v>
      </c>
      <c r="P196" s="398" t="s">
        <v>574</v>
      </c>
    </row>
    <row r="197" spans="1:16" s="401" customFormat="1" ht="24">
      <c r="A197" s="452">
        <f t="shared" si="8"/>
        <v>194</v>
      </c>
      <c r="B197" s="387">
        <v>46042</v>
      </c>
      <c r="C197" s="388">
        <v>46024</v>
      </c>
      <c r="D197" s="389" t="s">
        <v>166</v>
      </c>
      <c r="E197" s="394" t="s">
        <v>246</v>
      </c>
      <c r="F197" s="404">
        <v>478061.58</v>
      </c>
      <c r="G197" s="397" t="s">
        <v>979</v>
      </c>
      <c r="H197" s="389" t="s">
        <v>166</v>
      </c>
      <c r="I197" s="398" t="s">
        <v>672</v>
      </c>
      <c r="J197" s="399" t="s">
        <v>673</v>
      </c>
      <c r="K197" s="390" t="str">
        <f t="shared" si="7"/>
        <v>XXX944600058XX</v>
      </c>
      <c r="L197" s="391" t="s">
        <v>1996</v>
      </c>
      <c r="M197" s="398" t="s">
        <v>723</v>
      </c>
      <c r="N197" s="399">
        <v>2100</v>
      </c>
      <c r="O197" s="399" t="s">
        <v>578</v>
      </c>
      <c r="P197" s="398" t="s">
        <v>573</v>
      </c>
    </row>
    <row r="198" spans="1:16" s="401" customFormat="1" ht="96">
      <c r="A198" s="452">
        <f t="shared" si="8"/>
        <v>195</v>
      </c>
      <c r="B198" s="387">
        <v>46042</v>
      </c>
      <c r="C198" s="388">
        <v>46024</v>
      </c>
      <c r="D198" s="389" t="s">
        <v>248</v>
      </c>
      <c r="E198" s="393" t="s">
        <v>164</v>
      </c>
      <c r="F198" s="404">
        <v>8145.84</v>
      </c>
      <c r="G198" s="397" t="s">
        <v>980</v>
      </c>
      <c r="H198" s="389" t="s">
        <v>278</v>
      </c>
      <c r="I198" s="398" t="s">
        <v>678</v>
      </c>
      <c r="J198" s="399" t="s">
        <v>679</v>
      </c>
      <c r="K198" s="390" t="str">
        <f t="shared" si="7"/>
        <v>XXX140620001XX</v>
      </c>
      <c r="L198" s="391" t="s">
        <v>1996</v>
      </c>
      <c r="M198" s="398" t="s">
        <v>704</v>
      </c>
      <c r="N198" s="399">
        <v>2628</v>
      </c>
      <c r="O198" s="399" t="s">
        <v>905</v>
      </c>
      <c r="P198" s="398" t="s">
        <v>574</v>
      </c>
    </row>
    <row r="199" spans="1:16" s="401" customFormat="1" ht="36">
      <c r="A199" s="452">
        <f t="shared" si="8"/>
        <v>196</v>
      </c>
      <c r="B199" s="387">
        <v>46042</v>
      </c>
      <c r="C199" s="388">
        <v>46024</v>
      </c>
      <c r="D199" s="389" t="s">
        <v>166</v>
      </c>
      <c r="E199" s="398" t="s">
        <v>586</v>
      </c>
      <c r="F199" s="404">
        <v>420</v>
      </c>
      <c r="G199" s="397" t="s">
        <v>981</v>
      </c>
      <c r="H199" s="389" t="s">
        <v>166</v>
      </c>
      <c r="I199" s="398" t="s">
        <v>789</v>
      </c>
      <c r="J199" s="399" t="s">
        <v>790</v>
      </c>
      <c r="K199" s="390" t="str">
        <f t="shared" si="7"/>
        <v>XXX20396885 XX</v>
      </c>
      <c r="L199" s="391" t="s">
        <v>1996</v>
      </c>
      <c r="M199" s="398" t="s">
        <v>705</v>
      </c>
      <c r="N199" s="399">
        <v>12026</v>
      </c>
      <c r="O199" s="399" t="s">
        <v>906</v>
      </c>
      <c r="P199" s="398" t="s">
        <v>572</v>
      </c>
    </row>
    <row r="200" spans="1:16" s="401" customFormat="1" ht="36">
      <c r="A200" s="452">
        <f t="shared" si="8"/>
        <v>197</v>
      </c>
      <c r="B200" s="387">
        <v>46042</v>
      </c>
      <c r="C200" s="388">
        <v>46024</v>
      </c>
      <c r="D200" s="389" t="s">
        <v>166</v>
      </c>
      <c r="E200" s="398" t="s">
        <v>586</v>
      </c>
      <c r="F200" s="404">
        <v>120</v>
      </c>
      <c r="G200" s="397" t="s">
        <v>982</v>
      </c>
      <c r="H200" s="389" t="s">
        <v>166</v>
      </c>
      <c r="I200" s="398" t="s">
        <v>793</v>
      </c>
      <c r="J200" s="399" t="s">
        <v>794</v>
      </c>
      <c r="K200" s="390" t="str">
        <f t="shared" si="7"/>
        <v>XXX50057673 XX</v>
      </c>
      <c r="L200" s="391" t="s">
        <v>1996</v>
      </c>
      <c r="M200" s="398" t="s">
        <v>705</v>
      </c>
      <c r="N200" s="399">
        <v>12026</v>
      </c>
      <c r="O200" s="399" t="s">
        <v>906</v>
      </c>
      <c r="P200" s="398" t="s">
        <v>572</v>
      </c>
    </row>
    <row r="201" spans="1:16" s="401" customFormat="1" ht="36">
      <c r="A201" s="452">
        <f t="shared" si="8"/>
        <v>198</v>
      </c>
      <c r="B201" s="387">
        <v>46042</v>
      </c>
      <c r="C201" s="388">
        <v>46024</v>
      </c>
      <c r="D201" s="389" t="s">
        <v>166</v>
      </c>
      <c r="E201" s="398" t="s">
        <v>586</v>
      </c>
      <c r="F201" s="404">
        <v>1140</v>
      </c>
      <c r="G201" s="397" t="s">
        <v>983</v>
      </c>
      <c r="H201" s="389" t="s">
        <v>166</v>
      </c>
      <c r="I201" s="398" t="s">
        <v>782</v>
      </c>
      <c r="J201" s="399" t="s">
        <v>783</v>
      </c>
      <c r="K201" s="390" t="str">
        <f t="shared" si="7"/>
        <v>XXX51881687 XX</v>
      </c>
      <c r="L201" s="391" t="s">
        <v>1996</v>
      </c>
      <c r="M201" s="398" t="s">
        <v>705</v>
      </c>
      <c r="N201" s="399">
        <v>12026</v>
      </c>
      <c r="O201" s="399" t="s">
        <v>906</v>
      </c>
      <c r="P201" s="398" t="s">
        <v>572</v>
      </c>
    </row>
    <row r="202" spans="1:16" s="401" customFormat="1" ht="36">
      <c r="A202" s="452">
        <f t="shared" si="8"/>
        <v>199</v>
      </c>
      <c r="B202" s="387">
        <v>46042</v>
      </c>
      <c r="C202" s="388">
        <v>46024</v>
      </c>
      <c r="D202" s="389" t="s">
        <v>166</v>
      </c>
      <c r="E202" s="398" t="s">
        <v>586</v>
      </c>
      <c r="F202" s="404">
        <v>680</v>
      </c>
      <c r="G202" s="397" t="s">
        <v>984</v>
      </c>
      <c r="H202" s="389" t="s">
        <v>166</v>
      </c>
      <c r="I202" s="398" t="s">
        <v>807</v>
      </c>
      <c r="J202" s="399" t="s">
        <v>808</v>
      </c>
      <c r="K202" s="390" t="str">
        <f t="shared" si="7"/>
        <v>XXX16195630 XX</v>
      </c>
      <c r="L202" s="391" t="s">
        <v>1996</v>
      </c>
      <c r="M202" s="398" t="s">
        <v>705</v>
      </c>
      <c r="N202" s="399">
        <v>12026</v>
      </c>
      <c r="O202" s="399" t="s">
        <v>906</v>
      </c>
      <c r="P202" s="398" t="s">
        <v>572</v>
      </c>
    </row>
    <row r="203" spans="1:16" s="401" customFormat="1" ht="36">
      <c r="A203" s="452">
        <f t="shared" si="8"/>
        <v>200</v>
      </c>
      <c r="B203" s="387">
        <v>46042</v>
      </c>
      <c r="C203" s="388">
        <v>46024</v>
      </c>
      <c r="D203" s="389" t="s">
        <v>166</v>
      </c>
      <c r="E203" s="398" t="s">
        <v>586</v>
      </c>
      <c r="F203" s="404">
        <v>1140</v>
      </c>
      <c r="G203" s="397" t="s">
        <v>985</v>
      </c>
      <c r="H203" s="389" t="s">
        <v>166</v>
      </c>
      <c r="I203" s="398" t="s">
        <v>817</v>
      </c>
      <c r="J203" s="399" t="s">
        <v>818</v>
      </c>
      <c r="K203" s="390" t="str">
        <f t="shared" ref="K203:K223" si="9">IF(J203="","",IF(LEN(J203)&gt;14,IF(ISBLANK(J203),"",J203),REPLACE(REPLACE(J203,1,3,"XXX"),13,2,"XX")))</f>
        <v>XXX66617620 XX</v>
      </c>
      <c r="L203" s="391" t="s">
        <v>1996</v>
      </c>
      <c r="M203" s="398" t="s">
        <v>705</v>
      </c>
      <c r="N203" s="399">
        <v>12026</v>
      </c>
      <c r="O203" s="399" t="s">
        <v>906</v>
      </c>
      <c r="P203" s="398" t="s">
        <v>572</v>
      </c>
    </row>
    <row r="204" spans="1:16" s="401" customFormat="1" ht="36">
      <c r="A204" s="452">
        <f t="shared" si="8"/>
        <v>201</v>
      </c>
      <c r="B204" s="387">
        <v>46042</v>
      </c>
      <c r="C204" s="388">
        <v>46024</v>
      </c>
      <c r="D204" s="389" t="s">
        <v>166</v>
      </c>
      <c r="E204" s="398" t="s">
        <v>586</v>
      </c>
      <c r="F204" s="404">
        <v>1240</v>
      </c>
      <c r="G204" s="397" t="s">
        <v>986</v>
      </c>
      <c r="H204" s="389" t="s">
        <v>166</v>
      </c>
      <c r="I204" s="398" t="s">
        <v>681</v>
      </c>
      <c r="J204" s="399" t="s">
        <v>682</v>
      </c>
      <c r="K204" s="390" t="str">
        <f t="shared" si="9"/>
        <v>XXX51194603 XX</v>
      </c>
      <c r="L204" s="391" t="s">
        <v>1996</v>
      </c>
      <c r="M204" s="398" t="s">
        <v>705</v>
      </c>
      <c r="N204" s="399">
        <v>12026</v>
      </c>
      <c r="O204" s="399" t="s">
        <v>906</v>
      </c>
      <c r="P204" s="398" t="s">
        <v>572</v>
      </c>
    </row>
    <row r="205" spans="1:16" s="401" customFormat="1" ht="36">
      <c r="A205" s="452">
        <f t="shared" si="8"/>
        <v>202</v>
      </c>
      <c r="B205" s="387">
        <v>46042</v>
      </c>
      <c r="C205" s="388">
        <v>46024</v>
      </c>
      <c r="D205" s="389" t="s">
        <v>166</v>
      </c>
      <c r="E205" s="398" t="s">
        <v>586</v>
      </c>
      <c r="F205" s="404">
        <v>400</v>
      </c>
      <c r="G205" s="397" t="s">
        <v>987</v>
      </c>
      <c r="H205" s="389" t="s">
        <v>166</v>
      </c>
      <c r="I205" s="398" t="s">
        <v>813</v>
      </c>
      <c r="J205" s="399" t="s">
        <v>814</v>
      </c>
      <c r="K205" s="390" t="str">
        <f t="shared" si="9"/>
        <v>XXX59744640 XX</v>
      </c>
      <c r="L205" s="391" t="s">
        <v>1996</v>
      </c>
      <c r="M205" s="398" t="s">
        <v>705</v>
      </c>
      <c r="N205" s="399">
        <v>12026</v>
      </c>
      <c r="O205" s="399" t="s">
        <v>906</v>
      </c>
      <c r="P205" s="398" t="s">
        <v>572</v>
      </c>
    </row>
    <row r="206" spans="1:16" s="401" customFormat="1" ht="36">
      <c r="A206" s="452">
        <f t="shared" si="8"/>
        <v>203</v>
      </c>
      <c r="B206" s="387">
        <v>46042</v>
      </c>
      <c r="C206" s="388">
        <v>46024</v>
      </c>
      <c r="D206" s="389" t="s">
        <v>166</v>
      </c>
      <c r="E206" s="398" t="s">
        <v>586</v>
      </c>
      <c r="F206" s="404">
        <v>420</v>
      </c>
      <c r="G206" s="397" t="s">
        <v>988</v>
      </c>
      <c r="H206" s="389" t="s">
        <v>166</v>
      </c>
      <c r="I206" s="398" t="s">
        <v>791</v>
      </c>
      <c r="J206" s="399" t="s">
        <v>792</v>
      </c>
      <c r="K206" s="390" t="str">
        <f t="shared" si="9"/>
        <v>XXX11327889 XX</v>
      </c>
      <c r="L206" s="391" t="s">
        <v>1996</v>
      </c>
      <c r="M206" s="398" t="s">
        <v>705</v>
      </c>
      <c r="N206" s="399">
        <v>12026</v>
      </c>
      <c r="O206" s="399" t="s">
        <v>906</v>
      </c>
      <c r="P206" s="398" t="s">
        <v>572</v>
      </c>
    </row>
    <row r="207" spans="1:16" s="401" customFormat="1" ht="36">
      <c r="A207" s="452">
        <f t="shared" si="8"/>
        <v>204</v>
      </c>
      <c r="B207" s="387">
        <v>46044</v>
      </c>
      <c r="C207" s="388">
        <v>45993</v>
      </c>
      <c r="D207" s="389" t="s">
        <v>360</v>
      </c>
      <c r="E207" s="389" t="s">
        <v>360</v>
      </c>
      <c r="F207" s="404">
        <v>2852.1</v>
      </c>
      <c r="G207" s="397" t="s">
        <v>988</v>
      </c>
      <c r="H207" s="389" t="s">
        <v>280</v>
      </c>
      <c r="I207" s="394" t="s">
        <v>744</v>
      </c>
      <c r="J207" s="455">
        <v>7837375000150</v>
      </c>
      <c r="K207" s="390" t="str">
        <f t="shared" si="9"/>
        <v>XXX737500015XX</v>
      </c>
      <c r="L207" s="391" t="s">
        <v>1996</v>
      </c>
      <c r="M207" s="398" t="s">
        <v>705</v>
      </c>
      <c r="N207" s="399">
        <v>122025</v>
      </c>
      <c r="O207" s="402">
        <v>46022</v>
      </c>
      <c r="P207" s="398" t="s">
        <v>572</v>
      </c>
    </row>
    <row r="208" spans="1:16" s="401" customFormat="1" ht="36">
      <c r="A208" s="452">
        <f t="shared" si="8"/>
        <v>205</v>
      </c>
      <c r="B208" s="387">
        <v>46042</v>
      </c>
      <c r="C208" s="388">
        <v>46024</v>
      </c>
      <c r="D208" s="389" t="s">
        <v>166</v>
      </c>
      <c r="E208" s="398" t="s">
        <v>581</v>
      </c>
      <c r="F208" s="404">
        <v>-30.17</v>
      </c>
      <c r="G208" s="397" t="s">
        <v>989</v>
      </c>
      <c r="H208" s="389" t="s">
        <v>166</v>
      </c>
      <c r="I208" s="398" t="s">
        <v>778</v>
      </c>
      <c r="J208" s="399" t="s">
        <v>779</v>
      </c>
      <c r="K208" s="399" t="s">
        <v>280</v>
      </c>
      <c r="L208" s="391" t="s">
        <v>1996</v>
      </c>
      <c r="M208" s="398" t="s">
        <v>708</v>
      </c>
      <c r="N208" s="399">
        <v>24</v>
      </c>
      <c r="O208" s="399" t="s">
        <v>906</v>
      </c>
      <c r="P208" s="398" t="s">
        <v>576</v>
      </c>
    </row>
    <row r="209" spans="1:16" s="401" customFormat="1" ht="24">
      <c r="A209" s="452">
        <f t="shared" si="8"/>
        <v>206</v>
      </c>
      <c r="B209" s="387">
        <v>46043</v>
      </c>
      <c r="C209" s="388">
        <v>46024</v>
      </c>
      <c r="D209" s="389" t="s">
        <v>166</v>
      </c>
      <c r="E209" s="398" t="s">
        <v>583</v>
      </c>
      <c r="F209" s="404">
        <v>2653.25</v>
      </c>
      <c r="G209" s="397" t="s">
        <v>990</v>
      </c>
      <c r="H209" s="389" t="s">
        <v>166</v>
      </c>
      <c r="I209" s="398" t="s">
        <v>776</v>
      </c>
      <c r="J209" s="399" t="s">
        <v>777</v>
      </c>
      <c r="K209" s="399" t="s">
        <v>280</v>
      </c>
      <c r="L209" s="391" t="s">
        <v>1996</v>
      </c>
      <c r="M209" s="398" t="s">
        <v>705</v>
      </c>
      <c r="N209" s="399">
        <v>746</v>
      </c>
      <c r="O209" s="399" t="s">
        <v>885</v>
      </c>
      <c r="P209" s="398" t="s">
        <v>573</v>
      </c>
    </row>
    <row r="210" spans="1:16" s="401" customFormat="1" ht="60">
      <c r="A210" s="452">
        <f t="shared" si="8"/>
        <v>207</v>
      </c>
      <c r="B210" s="387">
        <v>46043</v>
      </c>
      <c r="C210" s="388">
        <v>45993</v>
      </c>
      <c r="D210" s="389" t="s">
        <v>248</v>
      </c>
      <c r="E210" s="398" t="s">
        <v>605</v>
      </c>
      <c r="F210" s="404">
        <v>2159.7199999999998</v>
      </c>
      <c r="G210" s="397" t="s">
        <v>991</v>
      </c>
      <c r="H210" s="389" t="s">
        <v>278</v>
      </c>
      <c r="I210" s="398" t="s">
        <v>637</v>
      </c>
      <c r="J210" s="399" t="s">
        <v>638</v>
      </c>
      <c r="K210" s="390" t="str">
        <f t="shared" si="9"/>
        <v>XXX128340001XX</v>
      </c>
      <c r="L210" s="391" t="s">
        <v>1996</v>
      </c>
      <c r="M210" s="398" t="s">
        <v>713</v>
      </c>
      <c r="N210" s="399">
        <v>74311225</v>
      </c>
      <c r="O210" s="399" t="s">
        <v>834</v>
      </c>
      <c r="P210" s="398" t="s">
        <v>574</v>
      </c>
    </row>
    <row r="211" spans="1:16" s="401" customFormat="1" ht="60">
      <c r="A211" s="452">
        <f t="shared" si="8"/>
        <v>208</v>
      </c>
      <c r="B211" s="387">
        <v>46043</v>
      </c>
      <c r="C211" s="388">
        <v>45993</v>
      </c>
      <c r="D211" s="389" t="s">
        <v>248</v>
      </c>
      <c r="E211" s="398" t="s">
        <v>605</v>
      </c>
      <c r="F211" s="404">
        <v>4947.7</v>
      </c>
      <c r="G211" s="397" t="s">
        <v>992</v>
      </c>
      <c r="H211" s="389" t="s">
        <v>278</v>
      </c>
      <c r="I211" s="398" t="s">
        <v>637</v>
      </c>
      <c r="J211" s="399" t="s">
        <v>638</v>
      </c>
      <c r="K211" s="399" t="s">
        <v>280</v>
      </c>
      <c r="L211" s="391" t="s">
        <v>1996</v>
      </c>
      <c r="M211" s="398" t="s">
        <v>715</v>
      </c>
      <c r="N211" s="399">
        <v>74311225</v>
      </c>
      <c r="O211" s="399" t="s">
        <v>834</v>
      </c>
      <c r="P211" s="398" t="s">
        <v>573</v>
      </c>
    </row>
    <row r="212" spans="1:16" s="401" customFormat="1" ht="60">
      <c r="A212" s="452">
        <f t="shared" si="8"/>
        <v>209</v>
      </c>
      <c r="B212" s="387">
        <v>46043</v>
      </c>
      <c r="C212" s="388">
        <v>45993</v>
      </c>
      <c r="D212" s="389" t="s">
        <v>248</v>
      </c>
      <c r="E212" s="398" t="s">
        <v>605</v>
      </c>
      <c r="F212" s="404">
        <v>610.29</v>
      </c>
      <c r="G212" s="397" t="s">
        <v>993</v>
      </c>
      <c r="H212" s="389" t="s">
        <v>278</v>
      </c>
      <c r="I212" s="398" t="s">
        <v>637</v>
      </c>
      <c r="J212" s="399" t="s">
        <v>638</v>
      </c>
      <c r="K212" s="390" t="str">
        <f t="shared" si="9"/>
        <v>XXX128340001XX</v>
      </c>
      <c r="L212" s="391" t="s">
        <v>1996</v>
      </c>
      <c r="M212" s="398" t="s">
        <v>716</v>
      </c>
      <c r="N212" s="399">
        <v>74311225</v>
      </c>
      <c r="O212" s="399" t="s">
        <v>834</v>
      </c>
      <c r="P212" s="398" t="s">
        <v>573</v>
      </c>
    </row>
    <row r="213" spans="1:16" s="401" customFormat="1" ht="36">
      <c r="A213" s="452">
        <f t="shared" si="8"/>
        <v>210</v>
      </c>
      <c r="B213" s="387">
        <v>46044</v>
      </c>
      <c r="C213" s="388">
        <v>46024</v>
      </c>
      <c r="D213" s="389" t="s">
        <v>248</v>
      </c>
      <c r="E213" s="398" t="s">
        <v>757</v>
      </c>
      <c r="F213" s="404">
        <v>7349.25</v>
      </c>
      <c r="G213" s="397" t="s">
        <v>994</v>
      </c>
      <c r="H213" s="392" t="s">
        <v>736</v>
      </c>
      <c r="I213" s="398" t="s">
        <v>877</v>
      </c>
      <c r="J213" s="399" t="s">
        <v>878</v>
      </c>
      <c r="K213" s="390" t="str">
        <f t="shared" si="9"/>
        <v>XXX800950001XX</v>
      </c>
      <c r="L213" s="391" t="s">
        <v>1996</v>
      </c>
      <c r="M213" s="398" t="s">
        <v>708</v>
      </c>
      <c r="N213" s="399">
        <v>2</v>
      </c>
      <c r="O213" s="399" t="s">
        <v>905</v>
      </c>
      <c r="P213" s="398" t="s">
        <v>574</v>
      </c>
    </row>
    <row r="214" spans="1:16" s="401" customFormat="1" ht="36">
      <c r="A214" s="452">
        <f t="shared" si="8"/>
        <v>211</v>
      </c>
      <c r="B214" s="387">
        <v>46044</v>
      </c>
      <c r="C214" s="388">
        <v>46024</v>
      </c>
      <c r="D214" s="389" t="s">
        <v>248</v>
      </c>
      <c r="E214" s="398" t="s">
        <v>601</v>
      </c>
      <c r="F214" s="404">
        <v>6650</v>
      </c>
      <c r="G214" s="397" t="s">
        <v>995</v>
      </c>
      <c r="H214" s="389" t="s">
        <v>278</v>
      </c>
      <c r="I214" s="398" t="s">
        <v>879</v>
      </c>
      <c r="J214" s="399" t="s">
        <v>880</v>
      </c>
      <c r="K214" s="399" t="s">
        <v>280</v>
      </c>
      <c r="L214" s="391" t="s">
        <v>1996</v>
      </c>
      <c r="M214" s="398" t="s">
        <v>708</v>
      </c>
      <c r="N214" s="399">
        <v>7</v>
      </c>
      <c r="O214" s="399" t="s">
        <v>902</v>
      </c>
      <c r="P214" s="398" t="s">
        <v>574</v>
      </c>
    </row>
    <row r="215" spans="1:16" s="401" customFormat="1" ht="36">
      <c r="A215" s="452">
        <f t="shared" si="8"/>
        <v>212</v>
      </c>
      <c r="B215" s="387">
        <v>46044</v>
      </c>
      <c r="C215" s="388">
        <v>46024</v>
      </c>
      <c r="D215" s="389" t="s">
        <v>248</v>
      </c>
      <c r="E215" s="395" t="s">
        <v>78</v>
      </c>
      <c r="F215" s="404">
        <v>1034.22</v>
      </c>
      <c r="G215" s="397" t="s">
        <v>996</v>
      </c>
      <c r="H215" s="389" t="s">
        <v>278</v>
      </c>
      <c r="I215" s="398" t="s">
        <v>754</v>
      </c>
      <c r="J215" s="399" t="s">
        <v>755</v>
      </c>
      <c r="K215" s="390" t="str">
        <f t="shared" si="9"/>
        <v>XXX748510001XX</v>
      </c>
      <c r="L215" s="391" t="s">
        <v>1996</v>
      </c>
      <c r="M215" s="398" t="s">
        <v>708</v>
      </c>
      <c r="N215" s="399">
        <v>11</v>
      </c>
      <c r="O215" s="399" t="s">
        <v>907</v>
      </c>
      <c r="P215" s="398" t="s">
        <v>574</v>
      </c>
    </row>
    <row r="216" spans="1:16" s="401" customFormat="1" ht="48">
      <c r="A216" s="452">
        <f t="shared" si="8"/>
        <v>213</v>
      </c>
      <c r="B216" s="387">
        <v>46044</v>
      </c>
      <c r="C216" s="388">
        <v>46024</v>
      </c>
      <c r="D216" s="389" t="s">
        <v>248</v>
      </c>
      <c r="E216" s="398" t="s">
        <v>597</v>
      </c>
      <c r="F216" s="404">
        <v>3774.24</v>
      </c>
      <c r="G216" s="397" t="s">
        <v>997</v>
      </c>
      <c r="H216" s="389" t="s">
        <v>278</v>
      </c>
      <c r="I216" s="398" t="s">
        <v>664</v>
      </c>
      <c r="J216" s="399" t="s">
        <v>665</v>
      </c>
      <c r="K216" s="390" t="str">
        <f t="shared" si="9"/>
        <v>XXX070650001XX</v>
      </c>
      <c r="L216" s="391" t="s">
        <v>1996</v>
      </c>
      <c r="M216" s="398" t="s">
        <v>704</v>
      </c>
      <c r="N216" s="399">
        <v>5049</v>
      </c>
      <c r="O216" s="399" t="s">
        <v>908</v>
      </c>
      <c r="P216" s="398" t="s">
        <v>574</v>
      </c>
    </row>
    <row r="217" spans="1:16" s="401" customFormat="1" ht="48">
      <c r="A217" s="452">
        <f t="shared" si="8"/>
        <v>214</v>
      </c>
      <c r="B217" s="387">
        <v>46044</v>
      </c>
      <c r="C217" s="388">
        <v>45993</v>
      </c>
      <c r="D217" s="389" t="s">
        <v>248</v>
      </c>
      <c r="E217" s="398" t="s">
        <v>608</v>
      </c>
      <c r="F217" s="404">
        <v>2893.05</v>
      </c>
      <c r="G217" s="397" t="s">
        <v>966</v>
      </c>
      <c r="H217" s="389" t="s">
        <v>1029</v>
      </c>
      <c r="I217" s="398" t="s">
        <v>645</v>
      </c>
      <c r="J217" s="399" t="s">
        <v>646</v>
      </c>
      <c r="K217" s="390" t="str">
        <f t="shared" si="9"/>
        <v>XXX460700001XX</v>
      </c>
      <c r="L217" s="391" t="s">
        <v>1996</v>
      </c>
      <c r="M217" s="398" t="s">
        <v>708</v>
      </c>
      <c r="N217" s="399">
        <v>1042025</v>
      </c>
      <c r="O217" s="399" t="s">
        <v>846</v>
      </c>
      <c r="P217" s="398" t="s">
        <v>574</v>
      </c>
    </row>
    <row r="218" spans="1:16" s="401" customFormat="1" ht="36">
      <c r="A218" s="452">
        <f t="shared" si="8"/>
        <v>215</v>
      </c>
      <c r="B218" s="387">
        <v>46044</v>
      </c>
      <c r="C218" s="388">
        <v>45993</v>
      </c>
      <c r="D218" s="389" t="s">
        <v>360</v>
      </c>
      <c r="E218" s="389" t="s">
        <v>360</v>
      </c>
      <c r="F218" s="404">
        <v>11546.82</v>
      </c>
      <c r="G218" s="397" t="s">
        <v>1027</v>
      </c>
      <c r="H218" s="389" t="s">
        <v>280</v>
      </c>
      <c r="I218" s="394" t="s">
        <v>744</v>
      </c>
      <c r="J218" s="455">
        <v>7837375000150</v>
      </c>
      <c r="K218" s="390" t="str">
        <f t="shared" si="9"/>
        <v>XXX737500015XX</v>
      </c>
      <c r="L218" s="391" t="s">
        <v>1996</v>
      </c>
      <c r="M218" s="398" t="s">
        <v>708</v>
      </c>
      <c r="N218" s="399">
        <v>122025</v>
      </c>
      <c r="O218" s="402">
        <v>46022</v>
      </c>
      <c r="P218" s="398" t="s">
        <v>574</v>
      </c>
    </row>
    <row r="219" spans="1:16" s="401" customFormat="1" ht="36">
      <c r="A219" s="452">
        <f t="shared" si="8"/>
        <v>216</v>
      </c>
      <c r="B219" s="387">
        <v>46044</v>
      </c>
      <c r="C219" s="388">
        <v>46024</v>
      </c>
      <c r="D219" s="389" t="s">
        <v>353</v>
      </c>
      <c r="E219" s="394" t="s">
        <v>153</v>
      </c>
      <c r="F219" s="404">
        <v>65788.100000000006</v>
      </c>
      <c r="G219" s="397" t="s">
        <v>821</v>
      </c>
      <c r="H219" s="389" t="s">
        <v>280</v>
      </c>
      <c r="I219" s="394" t="s">
        <v>744</v>
      </c>
      <c r="J219" s="455">
        <v>7837375000150</v>
      </c>
      <c r="K219" s="390" t="str">
        <f t="shared" si="9"/>
        <v>XXX737500015XX</v>
      </c>
      <c r="L219" s="391" t="s">
        <v>1996</v>
      </c>
      <c r="M219" s="398" t="s">
        <v>706</v>
      </c>
      <c r="N219" s="399">
        <v>22012026</v>
      </c>
      <c r="O219" s="399" t="s">
        <v>909</v>
      </c>
      <c r="P219" s="398" t="s">
        <v>574</v>
      </c>
    </row>
    <row r="220" spans="1:16" s="401" customFormat="1" ht="24">
      <c r="A220" s="452">
        <f t="shared" si="8"/>
        <v>217</v>
      </c>
      <c r="B220" s="387">
        <v>46044</v>
      </c>
      <c r="C220" s="388">
        <v>46024</v>
      </c>
      <c r="D220" s="389" t="s">
        <v>166</v>
      </c>
      <c r="E220" s="394" t="s">
        <v>452</v>
      </c>
      <c r="F220" s="404">
        <v>149307.17000000001</v>
      </c>
      <c r="G220" s="397" t="s">
        <v>998</v>
      </c>
      <c r="H220" s="389" t="s">
        <v>166</v>
      </c>
      <c r="I220" s="398" t="s">
        <v>789</v>
      </c>
      <c r="J220" s="399" t="s">
        <v>790</v>
      </c>
      <c r="K220" s="390" t="str">
        <f t="shared" si="9"/>
        <v>XXX20396885 XX</v>
      </c>
      <c r="L220" s="391" t="s">
        <v>1996</v>
      </c>
      <c r="M220" s="398" t="s">
        <v>705</v>
      </c>
      <c r="N220" s="399">
        <v>12026</v>
      </c>
      <c r="O220" s="399" t="s">
        <v>885</v>
      </c>
      <c r="P220" s="398" t="s">
        <v>573</v>
      </c>
    </row>
    <row r="221" spans="1:16" s="401" customFormat="1" ht="48">
      <c r="A221" s="452">
        <f t="shared" si="8"/>
        <v>218</v>
      </c>
      <c r="B221" s="387">
        <v>46045</v>
      </c>
      <c r="C221" s="388">
        <v>46024</v>
      </c>
      <c r="D221" s="389" t="s">
        <v>248</v>
      </c>
      <c r="E221" s="395" t="s">
        <v>0</v>
      </c>
      <c r="F221" s="404">
        <v>10</v>
      </c>
      <c r="G221" s="397" t="s">
        <v>999</v>
      </c>
      <c r="H221" s="389" t="s">
        <v>278</v>
      </c>
      <c r="I221" s="398" t="s">
        <v>881</v>
      </c>
      <c r="J221" s="399" t="s">
        <v>773</v>
      </c>
      <c r="K221" s="390" t="str">
        <f t="shared" si="9"/>
        <v>XXX000000000XX</v>
      </c>
      <c r="L221" s="391" t="s">
        <v>1996</v>
      </c>
      <c r="M221" s="398" t="s">
        <v>710</v>
      </c>
      <c r="N221" s="399">
        <v>148062</v>
      </c>
      <c r="O221" s="399" t="s">
        <v>910</v>
      </c>
      <c r="P221" s="398" t="s">
        <v>735</v>
      </c>
    </row>
    <row r="222" spans="1:16" s="401" customFormat="1" ht="48">
      <c r="A222" s="452">
        <f t="shared" si="8"/>
        <v>219</v>
      </c>
      <c r="B222" s="387">
        <v>46045</v>
      </c>
      <c r="C222" s="388">
        <v>46024</v>
      </c>
      <c r="D222" s="389" t="s">
        <v>248</v>
      </c>
      <c r="E222" s="395" t="s">
        <v>0</v>
      </c>
      <c r="F222" s="404">
        <v>10</v>
      </c>
      <c r="G222" s="397" t="s">
        <v>1000</v>
      </c>
      <c r="H222" s="389" t="s">
        <v>278</v>
      </c>
      <c r="I222" s="398" t="s">
        <v>881</v>
      </c>
      <c r="J222" s="399" t="s">
        <v>773</v>
      </c>
      <c r="K222" s="390" t="str">
        <f t="shared" si="9"/>
        <v>XXX000000000XX</v>
      </c>
      <c r="L222" s="391" t="s">
        <v>1996</v>
      </c>
      <c r="M222" s="398" t="s">
        <v>710</v>
      </c>
      <c r="N222" s="399">
        <v>148060</v>
      </c>
      <c r="O222" s="399" t="s">
        <v>910</v>
      </c>
      <c r="P222" s="398" t="s">
        <v>735</v>
      </c>
    </row>
    <row r="223" spans="1:16" s="401" customFormat="1" ht="36">
      <c r="A223" s="452">
        <f t="shared" si="8"/>
        <v>220</v>
      </c>
      <c r="B223" s="387">
        <v>46048</v>
      </c>
      <c r="C223" s="388">
        <v>45810</v>
      </c>
      <c r="D223" s="389" t="s">
        <v>353</v>
      </c>
      <c r="E223" s="394" t="s">
        <v>334</v>
      </c>
      <c r="F223" s="404">
        <v>60</v>
      </c>
      <c r="G223" s="397" t="s">
        <v>1001</v>
      </c>
      <c r="H223" s="389" t="s">
        <v>280</v>
      </c>
      <c r="I223" s="394" t="s">
        <v>744</v>
      </c>
      <c r="J223" s="455">
        <v>7837375000150</v>
      </c>
      <c r="K223" s="390" t="str">
        <f t="shared" si="9"/>
        <v>XXX737500015XX</v>
      </c>
      <c r="L223" s="391" t="s">
        <v>1996</v>
      </c>
      <c r="M223" s="398" t="s">
        <v>708</v>
      </c>
      <c r="N223" s="399">
        <v>12026</v>
      </c>
      <c r="O223" s="399" t="s">
        <v>788</v>
      </c>
      <c r="P223" s="398" t="s">
        <v>574</v>
      </c>
    </row>
    <row r="224" spans="1:16" s="401" customFormat="1" ht="36">
      <c r="A224" s="452">
        <f t="shared" si="8"/>
        <v>221</v>
      </c>
      <c r="B224" s="387">
        <v>46049</v>
      </c>
      <c r="C224" s="388">
        <v>46024</v>
      </c>
      <c r="D224" s="389" t="s">
        <v>248</v>
      </c>
      <c r="E224" s="398" t="s">
        <v>591</v>
      </c>
      <c r="F224" s="404">
        <v>587.94000000000005</v>
      </c>
      <c r="G224" s="397" t="s">
        <v>1002</v>
      </c>
      <c r="H224" s="392" t="s">
        <v>736</v>
      </c>
      <c r="I224" s="398" t="s">
        <v>805</v>
      </c>
      <c r="J224" s="399" t="s">
        <v>806</v>
      </c>
      <c r="K224" s="390" t="str">
        <f t="shared" ref="K224:K263" si="10">IF(J224="","",IF(LEN(J224)&gt;14,IF(ISBLANK(J224),"",J224),REPLACE(REPLACE(J224,1,3,"XXX"),13,2,"XX")))</f>
        <v>XXX528500001XX</v>
      </c>
      <c r="L224" s="391" t="s">
        <v>1996</v>
      </c>
      <c r="M224" s="398" t="s">
        <v>708</v>
      </c>
      <c r="N224" s="399">
        <v>66</v>
      </c>
      <c r="O224" s="399" t="s">
        <v>902</v>
      </c>
      <c r="P224" s="398" t="s">
        <v>574</v>
      </c>
    </row>
    <row r="225" spans="1:16" s="401" customFormat="1" ht="72">
      <c r="A225" s="452">
        <f t="shared" si="8"/>
        <v>222</v>
      </c>
      <c r="B225" s="387">
        <v>46049</v>
      </c>
      <c r="C225" s="388">
        <v>46024</v>
      </c>
      <c r="D225" s="389" t="s">
        <v>248</v>
      </c>
      <c r="E225" s="398" t="s">
        <v>610</v>
      </c>
      <c r="F225" s="404">
        <v>1197.05</v>
      </c>
      <c r="G225" s="397" t="s">
        <v>1003</v>
      </c>
      <c r="H225" s="392" t="s">
        <v>736</v>
      </c>
      <c r="I225" s="398" t="s">
        <v>686</v>
      </c>
      <c r="J225" s="399" t="s">
        <v>687</v>
      </c>
      <c r="K225" s="390" t="str">
        <f t="shared" si="10"/>
        <v>XXX900500001XX</v>
      </c>
      <c r="L225" s="391" t="s">
        <v>1996</v>
      </c>
      <c r="M225" s="398" t="s">
        <v>719</v>
      </c>
      <c r="N225" s="399">
        <v>37086</v>
      </c>
      <c r="O225" s="399" t="s">
        <v>902</v>
      </c>
      <c r="P225" s="398" t="s">
        <v>868</v>
      </c>
    </row>
    <row r="226" spans="1:16" s="401" customFormat="1" ht="36">
      <c r="A226" s="452">
        <f t="shared" si="8"/>
        <v>223</v>
      </c>
      <c r="B226" s="387">
        <v>46049</v>
      </c>
      <c r="C226" s="388">
        <v>46024</v>
      </c>
      <c r="D226" s="389" t="s">
        <v>248</v>
      </c>
      <c r="E226" s="398" t="s">
        <v>602</v>
      </c>
      <c r="F226" s="404">
        <v>2580.87</v>
      </c>
      <c r="G226" s="397" t="s">
        <v>1004</v>
      </c>
      <c r="H226" s="389" t="s">
        <v>278</v>
      </c>
      <c r="I226" s="398" t="s">
        <v>694</v>
      </c>
      <c r="J226" s="399" t="s">
        <v>695</v>
      </c>
      <c r="K226" s="390" t="str">
        <f t="shared" si="10"/>
        <v>XXX713070001XX</v>
      </c>
      <c r="L226" s="391" t="s">
        <v>1996</v>
      </c>
      <c r="M226" s="398" t="s">
        <v>704</v>
      </c>
      <c r="N226" s="399">
        <v>65</v>
      </c>
      <c r="O226" s="399" t="s">
        <v>905</v>
      </c>
      <c r="P226" s="398" t="s">
        <v>574</v>
      </c>
    </row>
    <row r="227" spans="1:16" s="401" customFormat="1" ht="48">
      <c r="A227" s="452">
        <f t="shared" si="8"/>
        <v>224</v>
      </c>
      <c r="B227" s="387">
        <v>46051</v>
      </c>
      <c r="C227" s="388">
        <v>46024</v>
      </c>
      <c r="D227" s="389" t="s">
        <v>248</v>
      </c>
      <c r="E227" s="398" t="s">
        <v>608</v>
      </c>
      <c r="F227" s="404">
        <v>391.09</v>
      </c>
      <c r="G227" s="397" t="s">
        <v>966</v>
      </c>
      <c r="H227" s="389" t="s">
        <v>1029</v>
      </c>
      <c r="I227" s="398" t="s">
        <v>645</v>
      </c>
      <c r="J227" s="399" t="s">
        <v>646</v>
      </c>
      <c r="K227" s="390" t="str">
        <f t="shared" si="10"/>
        <v>XXX460700001XX</v>
      </c>
      <c r="L227" s="391" t="s">
        <v>1996</v>
      </c>
      <c r="M227" s="398" t="s">
        <v>708</v>
      </c>
      <c r="N227" s="399">
        <v>1092025</v>
      </c>
      <c r="O227" s="399" t="s">
        <v>904</v>
      </c>
      <c r="P227" s="398" t="s">
        <v>574</v>
      </c>
    </row>
    <row r="228" spans="1:16" s="401" customFormat="1" ht="48">
      <c r="A228" s="452">
        <f t="shared" si="8"/>
        <v>225</v>
      </c>
      <c r="B228" s="387">
        <v>46051</v>
      </c>
      <c r="C228" s="388">
        <v>46024</v>
      </c>
      <c r="D228" s="389" t="s">
        <v>248</v>
      </c>
      <c r="E228" s="398" t="s">
        <v>608</v>
      </c>
      <c r="F228" s="404">
        <v>886.1</v>
      </c>
      <c r="G228" s="397" t="s">
        <v>966</v>
      </c>
      <c r="H228" s="389" t="s">
        <v>1029</v>
      </c>
      <c r="I228" s="398" t="s">
        <v>645</v>
      </c>
      <c r="J228" s="399" t="s">
        <v>646</v>
      </c>
      <c r="K228" s="390" t="str">
        <f t="shared" si="10"/>
        <v>XXX460700001XX</v>
      </c>
      <c r="L228" s="391" t="s">
        <v>1996</v>
      </c>
      <c r="M228" s="398" t="s">
        <v>708</v>
      </c>
      <c r="N228" s="399">
        <v>1972</v>
      </c>
      <c r="O228" s="399" t="s">
        <v>904</v>
      </c>
      <c r="P228" s="398" t="s">
        <v>574</v>
      </c>
    </row>
    <row r="229" spans="1:16" ht="24">
      <c r="A229" s="452">
        <f t="shared" si="8"/>
        <v>226</v>
      </c>
      <c r="B229" s="431">
        <v>46051</v>
      </c>
      <c r="C229" s="432">
        <v>46024</v>
      </c>
      <c r="D229" s="392" t="s">
        <v>248</v>
      </c>
      <c r="E229" s="393" t="s">
        <v>52</v>
      </c>
      <c r="F229" s="434">
        <v>8075</v>
      </c>
      <c r="G229" s="433" t="s">
        <v>1383</v>
      </c>
      <c r="H229" s="392" t="s">
        <v>278</v>
      </c>
      <c r="I229" s="394" t="s">
        <v>1165</v>
      </c>
      <c r="J229" s="435" t="s">
        <v>1166</v>
      </c>
      <c r="K229" s="394" t="str">
        <f t="shared" si="10"/>
        <v>XXX502630001XX</v>
      </c>
      <c r="L229" s="391" t="s">
        <v>1996</v>
      </c>
      <c r="M229" s="394"/>
      <c r="N229" s="435"/>
      <c r="O229" s="436">
        <v>46051</v>
      </c>
      <c r="P229" s="394"/>
    </row>
    <row r="230" spans="1:16" s="401" customFormat="1" ht="36">
      <c r="A230" s="452">
        <f t="shared" si="8"/>
        <v>227</v>
      </c>
      <c r="B230" s="387">
        <v>46051</v>
      </c>
      <c r="C230" s="388">
        <v>46024</v>
      </c>
      <c r="D230" s="389" t="s">
        <v>248</v>
      </c>
      <c r="E230" s="398" t="s">
        <v>606</v>
      </c>
      <c r="F230" s="404">
        <v>3866.67</v>
      </c>
      <c r="G230" s="397" t="s">
        <v>1005</v>
      </c>
      <c r="H230" s="389" t="s">
        <v>737</v>
      </c>
      <c r="I230" s="398" t="s">
        <v>871</v>
      </c>
      <c r="J230" s="399" t="s">
        <v>872</v>
      </c>
      <c r="K230" s="399" t="s">
        <v>280</v>
      </c>
      <c r="L230" s="391" t="s">
        <v>1996</v>
      </c>
      <c r="M230" s="398" t="s">
        <v>719</v>
      </c>
      <c r="N230" s="399">
        <v>15</v>
      </c>
      <c r="O230" s="399" t="s">
        <v>909</v>
      </c>
      <c r="P230" s="398" t="s">
        <v>868</v>
      </c>
    </row>
    <row r="231" spans="1:16" s="401" customFormat="1" ht="84">
      <c r="A231" s="452">
        <f t="shared" si="8"/>
        <v>228</v>
      </c>
      <c r="B231" s="387">
        <v>46051</v>
      </c>
      <c r="C231" s="388">
        <v>46024</v>
      </c>
      <c r="D231" s="389" t="s">
        <v>248</v>
      </c>
      <c r="E231" s="398" t="s">
        <v>601</v>
      </c>
      <c r="F231" s="404">
        <v>64.95</v>
      </c>
      <c r="G231" s="397" t="s">
        <v>1006</v>
      </c>
      <c r="H231" s="389" t="s">
        <v>278</v>
      </c>
      <c r="I231" s="398" t="s">
        <v>643</v>
      </c>
      <c r="J231" s="399" t="s">
        <v>644</v>
      </c>
      <c r="K231" s="390" t="str">
        <f t="shared" si="10"/>
        <v>XXX156600001XX</v>
      </c>
      <c r="L231" s="391" t="s">
        <v>1996</v>
      </c>
      <c r="M231" s="398" t="s">
        <v>708</v>
      </c>
      <c r="N231" s="399">
        <v>73780</v>
      </c>
      <c r="O231" s="399" t="s">
        <v>906</v>
      </c>
      <c r="P231" s="398" t="s">
        <v>574</v>
      </c>
    </row>
    <row r="232" spans="1:16" s="401" customFormat="1" ht="96">
      <c r="A232" s="452">
        <f t="shared" si="8"/>
        <v>229</v>
      </c>
      <c r="B232" s="387">
        <v>46051</v>
      </c>
      <c r="C232" s="388">
        <v>46024</v>
      </c>
      <c r="D232" s="389" t="s">
        <v>248</v>
      </c>
      <c r="E232" s="398" t="s">
        <v>598</v>
      </c>
      <c r="F232" s="404">
        <v>2410.1999999999998</v>
      </c>
      <c r="G232" s="397" t="s">
        <v>1007</v>
      </c>
      <c r="H232" s="392" t="s">
        <v>736</v>
      </c>
      <c r="I232" s="398" t="s">
        <v>784</v>
      </c>
      <c r="J232" s="399" t="s">
        <v>785</v>
      </c>
      <c r="K232" s="390" t="str">
        <f t="shared" si="10"/>
        <v>XXX645480001XX</v>
      </c>
      <c r="L232" s="391" t="s">
        <v>1996</v>
      </c>
      <c r="M232" s="398" t="s">
        <v>708</v>
      </c>
      <c r="N232" s="399">
        <v>9</v>
      </c>
      <c r="O232" s="399" t="s">
        <v>910</v>
      </c>
      <c r="P232" s="398" t="s">
        <v>574</v>
      </c>
    </row>
    <row r="233" spans="1:16" s="401" customFormat="1" ht="36">
      <c r="A233" s="452">
        <f t="shared" si="8"/>
        <v>230</v>
      </c>
      <c r="B233" s="387">
        <v>46051</v>
      </c>
      <c r="C233" s="388">
        <v>46024</v>
      </c>
      <c r="D233" s="389" t="s">
        <v>248</v>
      </c>
      <c r="E233" s="393" t="s">
        <v>150</v>
      </c>
      <c r="F233" s="404">
        <v>907.4</v>
      </c>
      <c r="G233" s="397" t="s">
        <v>1008</v>
      </c>
      <c r="H233" s="389" t="s">
        <v>278</v>
      </c>
      <c r="I233" s="398" t="s">
        <v>641</v>
      </c>
      <c r="J233" s="399" t="s">
        <v>642</v>
      </c>
      <c r="K233" s="390" t="str">
        <f t="shared" si="10"/>
        <v>XXX581570009XX</v>
      </c>
      <c r="L233" s="391" t="s">
        <v>1996</v>
      </c>
      <c r="M233" s="398" t="s">
        <v>717</v>
      </c>
      <c r="N233" s="399">
        <v>678582</v>
      </c>
      <c r="O233" s="399" t="s">
        <v>908</v>
      </c>
      <c r="P233" s="398" t="s">
        <v>868</v>
      </c>
    </row>
    <row r="234" spans="1:16" s="401" customFormat="1" ht="36">
      <c r="A234" s="452">
        <f t="shared" si="8"/>
        <v>231</v>
      </c>
      <c r="B234" s="387">
        <v>46051</v>
      </c>
      <c r="C234" s="388">
        <v>46024</v>
      </c>
      <c r="D234" s="389" t="s">
        <v>166</v>
      </c>
      <c r="E234" s="398" t="s">
        <v>586</v>
      </c>
      <c r="F234" s="404">
        <v>82540</v>
      </c>
      <c r="G234" s="397" t="s">
        <v>1009</v>
      </c>
      <c r="H234" s="389" t="s">
        <v>166</v>
      </c>
      <c r="I234" s="398" t="s">
        <v>620</v>
      </c>
      <c r="J234" s="399" t="s">
        <v>621</v>
      </c>
      <c r="K234" s="390" t="str">
        <f t="shared" si="10"/>
        <v>XXX408760001XX</v>
      </c>
      <c r="L234" s="391" t="s">
        <v>1996</v>
      </c>
      <c r="M234" s="398" t="s">
        <v>706</v>
      </c>
      <c r="N234" s="399">
        <v>2057887365</v>
      </c>
      <c r="O234" s="399" t="s">
        <v>911</v>
      </c>
      <c r="P234" s="398" t="s">
        <v>572</v>
      </c>
    </row>
    <row r="235" spans="1:16" s="401" customFormat="1" ht="36">
      <c r="A235" s="452">
        <f t="shared" si="8"/>
        <v>232</v>
      </c>
      <c r="B235" s="387">
        <v>46051</v>
      </c>
      <c r="C235" s="388">
        <v>46024</v>
      </c>
      <c r="D235" s="389" t="s">
        <v>166</v>
      </c>
      <c r="E235" s="398" t="s">
        <v>586</v>
      </c>
      <c r="F235" s="404">
        <v>47533.56</v>
      </c>
      <c r="G235" s="397" t="s">
        <v>1010</v>
      </c>
      <c r="H235" s="389" t="s">
        <v>166</v>
      </c>
      <c r="I235" s="398" t="s">
        <v>620</v>
      </c>
      <c r="J235" s="399" t="s">
        <v>621</v>
      </c>
      <c r="K235" s="390" t="str">
        <f t="shared" si="10"/>
        <v>XXX408760001XX</v>
      </c>
      <c r="L235" s="391" t="s">
        <v>1996</v>
      </c>
      <c r="M235" s="398" t="s">
        <v>706</v>
      </c>
      <c r="N235" s="399">
        <v>2057887366</v>
      </c>
      <c r="O235" s="399" t="s">
        <v>911</v>
      </c>
      <c r="P235" s="398" t="s">
        <v>572</v>
      </c>
    </row>
    <row r="236" spans="1:16" s="401" customFormat="1" ht="36">
      <c r="A236" s="452">
        <f t="shared" si="8"/>
        <v>233</v>
      </c>
      <c r="B236" s="387">
        <v>46051</v>
      </c>
      <c r="C236" s="388">
        <v>46024</v>
      </c>
      <c r="D236" s="389" t="s">
        <v>166</v>
      </c>
      <c r="E236" s="398" t="s">
        <v>585</v>
      </c>
      <c r="F236" s="404">
        <v>3350</v>
      </c>
      <c r="G236" s="397" t="s">
        <v>1011</v>
      </c>
      <c r="H236" s="389" t="s">
        <v>166</v>
      </c>
      <c r="I236" s="398" t="s">
        <v>620</v>
      </c>
      <c r="J236" s="399" t="s">
        <v>621</v>
      </c>
      <c r="K236" s="390" t="str">
        <f t="shared" si="10"/>
        <v>XXX408760001XX</v>
      </c>
      <c r="L236" s="391" t="s">
        <v>1996</v>
      </c>
      <c r="M236" s="398" t="s">
        <v>706</v>
      </c>
      <c r="N236" s="399">
        <v>2057887367</v>
      </c>
      <c r="O236" s="399" t="s">
        <v>911</v>
      </c>
      <c r="P236" s="398" t="s">
        <v>572</v>
      </c>
    </row>
    <row r="237" spans="1:16" s="401" customFormat="1" ht="48">
      <c r="A237" s="452">
        <f t="shared" si="8"/>
        <v>234</v>
      </c>
      <c r="B237" s="387">
        <v>46051</v>
      </c>
      <c r="C237" s="388">
        <v>46024</v>
      </c>
      <c r="D237" s="389" t="s">
        <v>248</v>
      </c>
      <c r="E237" s="395" t="s">
        <v>61</v>
      </c>
      <c r="F237" s="404">
        <v>100</v>
      </c>
      <c r="G237" s="397" t="s">
        <v>1012</v>
      </c>
      <c r="H237" s="389" t="s">
        <v>278</v>
      </c>
      <c r="I237" s="398" t="s">
        <v>881</v>
      </c>
      <c r="J237" s="399" t="s">
        <v>773</v>
      </c>
      <c r="K237" s="390" t="str">
        <f t="shared" si="10"/>
        <v>XXX000000000XX</v>
      </c>
      <c r="L237" s="391" t="s">
        <v>1996</v>
      </c>
      <c r="M237" s="398" t="s">
        <v>710</v>
      </c>
      <c r="N237" s="399">
        <v>826</v>
      </c>
      <c r="O237" s="399" t="s">
        <v>911</v>
      </c>
      <c r="P237" s="398" t="s">
        <v>735</v>
      </c>
    </row>
    <row r="238" spans="1:16" s="401" customFormat="1" ht="36">
      <c r="A238" s="452">
        <f t="shared" si="8"/>
        <v>235</v>
      </c>
      <c r="B238" s="387">
        <v>46051</v>
      </c>
      <c r="C238" s="388">
        <v>46024</v>
      </c>
      <c r="D238" s="389" t="s">
        <v>248</v>
      </c>
      <c r="E238" s="398" t="s">
        <v>758</v>
      </c>
      <c r="F238" s="404">
        <v>75755.87</v>
      </c>
      <c r="G238" s="397" t="s">
        <v>1013</v>
      </c>
      <c r="H238" s="389" t="s">
        <v>738</v>
      </c>
      <c r="I238" s="398" t="s">
        <v>700</v>
      </c>
      <c r="J238" s="399" t="s">
        <v>701</v>
      </c>
      <c r="K238" s="390" t="str">
        <f t="shared" si="10"/>
        <v>XXX759440001XX</v>
      </c>
      <c r="L238" s="391" t="s">
        <v>1996</v>
      </c>
      <c r="M238" s="398" t="s">
        <v>708</v>
      </c>
      <c r="N238" s="399">
        <v>93</v>
      </c>
      <c r="O238" s="399" t="s">
        <v>899</v>
      </c>
      <c r="P238" s="398" t="s">
        <v>574</v>
      </c>
    </row>
    <row r="239" spans="1:16" s="401" customFormat="1" ht="60">
      <c r="A239" s="452">
        <f t="shared" si="8"/>
        <v>236</v>
      </c>
      <c r="B239" s="387">
        <v>46051</v>
      </c>
      <c r="C239" s="388">
        <v>46024</v>
      </c>
      <c r="D239" s="389" t="s">
        <v>166</v>
      </c>
      <c r="E239" s="398" t="s">
        <v>584</v>
      </c>
      <c r="F239" s="404">
        <v>1478.31</v>
      </c>
      <c r="G239" s="397" t="s">
        <v>1014</v>
      </c>
      <c r="H239" s="389" t="s">
        <v>166</v>
      </c>
      <c r="I239" s="398" t="s">
        <v>622</v>
      </c>
      <c r="J239" s="399" t="s">
        <v>623</v>
      </c>
      <c r="K239" s="390" t="str">
        <f t="shared" si="10"/>
        <v>XXX267150001XX</v>
      </c>
      <c r="L239" s="391" t="s">
        <v>1996</v>
      </c>
      <c r="M239" s="398" t="s">
        <v>706</v>
      </c>
      <c r="N239" s="399">
        <v>2057887368</v>
      </c>
      <c r="O239" s="399" t="s">
        <v>911</v>
      </c>
      <c r="P239" s="398" t="s">
        <v>572</v>
      </c>
    </row>
    <row r="240" spans="1:16" s="401" customFormat="1" ht="36">
      <c r="A240" s="452">
        <f t="shared" si="8"/>
        <v>237</v>
      </c>
      <c r="B240" s="387">
        <v>46051</v>
      </c>
      <c r="C240" s="388">
        <v>46024</v>
      </c>
      <c r="D240" s="389" t="s">
        <v>353</v>
      </c>
      <c r="E240" s="394" t="s">
        <v>153</v>
      </c>
      <c r="F240" s="404">
        <v>62227.199999999997</v>
      </c>
      <c r="G240" s="397" t="s">
        <v>821</v>
      </c>
      <c r="H240" s="389" t="s">
        <v>280</v>
      </c>
      <c r="I240" s="394" t="s">
        <v>744</v>
      </c>
      <c r="J240" s="455">
        <v>7837375000150</v>
      </c>
      <c r="K240" s="390" t="str">
        <f t="shared" si="10"/>
        <v>XXX737500015XX</v>
      </c>
      <c r="L240" s="391" t="s">
        <v>1996</v>
      </c>
      <c r="M240" s="398" t="s">
        <v>706</v>
      </c>
      <c r="N240" s="399">
        <v>2057887369</v>
      </c>
      <c r="O240" s="399" t="s">
        <v>911</v>
      </c>
      <c r="P240" s="398" t="s">
        <v>574</v>
      </c>
    </row>
    <row r="241" spans="1:16" s="401" customFormat="1" ht="36">
      <c r="A241" s="452">
        <f t="shared" si="8"/>
        <v>238</v>
      </c>
      <c r="B241" s="387">
        <v>46051</v>
      </c>
      <c r="C241" s="388">
        <v>46024</v>
      </c>
      <c r="D241" s="389" t="s">
        <v>353</v>
      </c>
      <c r="E241" s="394" t="s">
        <v>334</v>
      </c>
      <c r="F241" s="404">
        <v>800</v>
      </c>
      <c r="G241" s="397" t="s">
        <v>1015</v>
      </c>
      <c r="H241" s="389" t="s">
        <v>280</v>
      </c>
      <c r="I241" s="394" t="s">
        <v>744</v>
      </c>
      <c r="J241" s="455">
        <v>7837375000150</v>
      </c>
      <c r="K241" s="390" t="str">
        <f t="shared" si="10"/>
        <v>XXX737500015XX</v>
      </c>
      <c r="L241" s="391" t="s">
        <v>1996</v>
      </c>
      <c r="M241" s="398" t="s">
        <v>708</v>
      </c>
      <c r="N241" s="399">
        <v>12026</v>
      </c>
      <c r="O241" s="399" t="s">
        <v>911</v>
      </c>
      <c r="P241" s="398" t="s">
        <v>574</v>
      </c>
    </row>
    <row r="242" spans="1:16" s="401" customFormat="1" ht="48">
      <c r="A242" s="452">
        <f t="shared" si="8"/>
        <v>239</v>
      </c>
      <c r="B242" s="387">
        <v>46051</v>
      </c>
      <c r="C242" s="388">
        <v>46024</v>
      </c>
      <c r="D242" s="389" t="s">
        <v>166</v>
      </c>
      <c r="E242" s="398" t="s">
        <v>584</v>
      </c>
      <c r="F242" s="404">
        <v>3134.8</v>
      </c>
      <c r="G242" s="397" t="s">
        <v>1016</v>
      </c>
      <c r="H242" s="389" t="s">
        <v>166</v>
      </c>
      <c r="I242" s="398" t="s">
        <v>618</v>
      </c>
      <c r="J242" s="399" t="s">
        <v>619</v>
      </c>
      <c r="K242" s="399" t="s">
        <v>280</v>
      </c>
      <c r="L242" s="391" t="s">
        <v>1996</v>
      </c>
      <c r="M242" s="398" t="s">
        <v>706</v>
      </c>
      <c r="N242" s="399">
        <v>2057887370</v>
      </c>
      <c r="O242" s="399" t="s">
        <v>911</v>
      </c>
      <c r="P242" s="398" t="s">
        <v>572</v>
      </c>
    </row>
    <row r="243" spans="1:16" s="401" customFormat="1" ht="24">
      <c r="A243" s="452">
        <f t="shared" si="8"/>
        <v>240</v>
      </c>
      <c r="B243" s="387">
        <v>46051</v>
      </c>
      <c r="C243" s="388">
        <v>46024</v>
      </c>
      <c r="D243" s="389" t="s">
        <v>166</v>
      </c>
      <c r="E243" s="394" t="s">
        <v>10</v>
      </c>
      <c r="F243" s="404">
        <v>199316.41</v>
      </c>
      <c r="G243" s="397" t="s">
        <v>1017</v>
      </c>
      <c r="H243" s="389" t="s">
        <v>166</v>
      </c>
      <c r="I243" s="398" t="s">
        <v>647</v>
      </c>
      <c r="J243" s="399" t="s">
        <v>648</v>
      </c>
      <c r="K243" s="390" t="str">
        <f t="shared" si="10"/>
        <v>XXX603050001XX</v>
      </c>
      <c r="L243" s="391" t="s">
        <v>1996</v>
      </c>
      <c r="M243" s="398" t="s">
        <v>718</v>
      </c>
      <c r="N243" s="399">
        <v>12026</v>
      </c>
      <c r="O243" s="399" t="s">
        <v>885</v>
      </c>
      <c r="P243" s="398" t="s">
        <v>573</v>
      </c>
    </row>
    <row r="244" spans="1:16" s="401" customFormat="1" ht="36">
      <c r="A244" s="452">
        <f t="shared" si="8"/>
        <v>241</v>
      </c>
      <c r="B244" s="387">
        <v>46052</v>
      </c>
      <c r="C244" s="388">
        <v>46024</v>
      </c>
      <c r="D244" s="389" t="s">
        <v>248</v>
      </c>
      <c r="E244" s="393" t="s">
        <v>167</v>
      </c>
      <c r="F244" s="404">
        <v>1129.32</v>
      </c>
      <c r="G244" s="397" t="s">
        <v>1018</v>
      </c>
      <c r="H244" s="389" t="s">
        <v>278</v>
      </c>
      <c r="I244" s="398" t="s">
        <v>702</v>
      </c>
      <c r="J244" s="399" t="s">
        <v>703</v>
      </c>
      <c r="K244" s="399" t="s">
        <v>280</v>
      </c>
      <c r="L244" s="391" t="s">
        <v>1996</v>
      </c>
      <c r="M244" s="398" t="s">
        <v>704</v>
      </c>
      <c r="N244" s="399">
        <v>181</v>
      </c>
      <c r="O244" s="399" t="s">
        <v>894</v>
      </c>
      <c r="P244" s="398" t="s">
        <v>868</v>
      </c>
    </row>
    <row r="245" spans="1:16" s="401" customFormat="1" ht="48">
      <c r="A245" s="452">
        <f t="shared" si="8"/>
        <v>242</v>
      </c>
      <c r="B245" s="387">
        <v>46052</v>
      </c>
      <c r="C245" s="388">
        <v>46024</v>
      </c>
      <c r="D245" s="389" t="s">
        <v>353</v>
      </c>
      <c r="E245" s="398" t="s">
        <v>587</v>
      </c>
      <c r="F245" s="404">
        <v>100</v>
      </c>
      <c r="G245" s="397" t="s">
        <v>1019</v>
      </c>
      <c r="H245" s="389" t="s">
        <v>280</v>
      </c>
      <c r="I245" s="394" t="s">
        <v>744</v>
      </c>
      <c r="J245" s="455">
        <v>7837375000150</v>
      </c>
      <c r="K245" s="390" t="str">
        <f t="shared" si="10"/>
        <v>XXX737500015XX</v>
      </c>
      <c r="L245" s="391" t="s">
        <v>1996</v>
      </c>
      <c r="M245" s="398" t="s">
        <v>708</v>
      </c>
      <c r="N245" s="399">
        <v>12026</v>
      </c>
      <c r="O245" s="399" t="s">
        <v>912</v>
      </c>
      <c r="P245" s="398" t="s">
        <v>574</v>
      </c>
    </row>
    <row r="246" spans="1:16" s="401" customFormat="1" ht="48">
      <c r="A246" s="452">
        <f t="shared" si="8"/>
        <v>243</v>
      </c>
      <c r="B246" s="387">
        <v>46052</v>
      </c>
      <c r="C246" s="388">
        <v>46024</v>
      </c>
      <c r="D246" s="389" t="s">
        <v>353</v>
      </c>
      <c r="E246" s="398" t="s">
        <v>587</v>
      </c>
      <c r="F246" s="404">
        <v>100</v>
      </c>
      <c r="G246" s="397" t="s">
        <v>1020</v>
      </c>
      <c r="H246" s="389" t="s">
        <v>280</v>
      </c>
      <c r="I246" s="394" t="s">
        <v>744</v>
      </c>
      <c r="J246" s="455">
        <v>7837375000150</v>
      </c>
      <c r="K246" s="390" t="str">
        <f t="shared" si="10"/>
        <v>XXX737500015XX</v>
      </c>
      <c r="L246" s="391" t="s">
        <v>1996</v>
      </c>
      <c r="M246" s="398" t="s">
        <v>708</v>
      </c>
      <c r="N246" s="399">
        <v>12026</v>
      </c>
      <c r="O246" s="399" t="s">
        <v>912</v>
      </c>
      <c r="P246" s="398" t="s">
        <v>574</v>
      </c>
    </row>
    <row r="247" spans="1:16" s="401" customFormat="1" ht="48">
      <c r="A247" s="452">
        <f t="shared" si="8"/>
        <v>244</v>
      </c>
      <c r="B247" s="387">
        <v>46052</v>
      </c>
      <c r="C247" s="388">
        <v>46024</v>
      </c>
      <c r="D247" s="389" t="s">
        <v>248</v>
      </c>
      <c r="E247" s="398" t="s">
        <v>605</v>
      </c>
      <c r="F247" s="404">
        <v>125.78</v>
      </c>
      <c r="G247" s="397" t="s">
        <v>1021</v>
      </c>
      <c r="H247" s="389" t="s">
        <v>278</v>
      </c>
      <c r="I247" s="398" t="s">
        <v>882</v>
      </c>
      <c r="J247" s="399" t="s">
        <v>883</v>
      </c>
      <c r="K247" s="390" t="str">
        <f t="shared" si="10"/>
        <v>XXX559250001XX</v>
      </c>
      <c r="L247" s="391" t="s">
        <v>1996</v>
      </c>
      <c r="M247" s="398" t="s">
        <v>706</v>
      </c>
      <c r="N247" s="399">
        <v>2057887371</v>
      </c>
      <c r="O247" s="399" t="s">
        <v>911</v>
      </c>
      <c r="P247" s="398" t="s">
        <v>574</v>
      </c>
    </row>
    <row r="248" spans="1:16" s="401" customFormat="1" ht="24">
      <c r="A248" s="452">
        <f t="shared" si="8"/>
        <v>245</v>
      </c>
      <c r="B248" s="387">
        <v>46053</v>
      </c>
      <c r="C248" s="388">
        <v>46024</v>
      </c>
      <c r="D248" s="389" t="s">
        <v>353</v>
      </c>
      <c r="E248" s="394" t="s">
        <v>336</v>
      </c>
      <c r="F248" s="404">
        <v>1349.14</v>
      </c>
      <c r="G248" s="397" t="s">
        <v>1022</v>
      </c>
      <c r="H248" s="389" t="s">
        <v>280</v>
      </c>
      <c r="I248" s="394" t="s">
        <v>744</v>
      </c>
      <c r="J248" s="455">
        <v>7837375000150</v>
      </c>
      <c r="K248" s="390" t="str">
        <f t="shared" si="10"/>
        <v>XXX737500015XX</v>
      </c>
      <c r="L248" s="391" t="s">
        <v>1996</v>
      </c>
      <c r="M248" s="398" t="s">
        <v>734</v>
      </c>
      <c r="N248" s="399">
        <v>12026</v>
      </c>
      <c r="O248" s="399" t="s">
        <v>885</v>
      </c>
      <c r="P248" s="398" t="s">
        <v>573</v>
      </c>
    </row>
    <row r="249" spans="1:16" s="401" customFormat="1" ht="24">
      <c r="A249" s="452">
        <f t="shared" si="8"/>
        <v>246</v>
      </c>
      <c r="B249" s="387">
        <v>46053</v>
      </c>
      <c r="C249" s="388">
        <v>46024</v>
      </c>
      <c r="D249" s="389" t="s">
        <v>353</v>
      </c>
      <c r="E249" s="394" t="s">
        <v>336</v>
      </c>
      <c r="F249" s="404">
        <v>84763.04</v>
      </c>
      <c r="G249" s="397" t="s">
        <v>1022</v>
      </c>
      <c r="H249" s="389" t="s">
        <v>280</v>
      </c>
      <c r="I249" s="394" t="s">
        <v>744</v>
      </c>
      <c r="J249" s="455">
        <v>7837375000150</v>
      </c>
      <c r="K249" s="390" t="str">
        <f t="shared" si="10"/>
        <v>XXX737500015XX</v>
      </c>
      <c r="L249" s="391" t="s">
        <v>1996</v>
      </c>
      <c r="M249" s="398" t="s">
        <v>734</v>
      </c>
      <c r="N249" s="399">
        <v>12026</v>
      </c>
      <c r="O249" s="399" t="s">
        <v>885</v>
      </c>
      <c r="P249" s="398" t="s">
        <v>573</v>
      </c>
    </row>
    <row r="250" spans="1:16" s="401" customFormat="1" ht="36">
      <c r="A250" s="452">
        <f t="shared" si="8"/>
        <v>247</v>
      </c>
      <c r="B250" s="387">
        <v>46053</v>
      </c>
      <c r="C250" s="388">
        <v>46024</v>
      </c>
      <c r="D250" s="389" t="s">
        <v>339</v>
      </c>
      <c r="E250" s="389" t="s">
        <v>339</v>
      </c>
      <c r="F250" s="404">
        <v>14258.25</v>
      </c>
      <c r="G250" s="397" t="s">
        <v>1022</v>
      </c>
      <c r="H250" s="389" t="s">
        <v>280</v>
      </c>
      <c r="I250" s="394" t="s">
        <v>744</v>
      </c>
      <c r="J250" s="455">
        <v>7837375000150</v>
      </c>
      <c r="K250" s="390" t="str">
        <f t="shared" si="10"/>
        <v>XXX737500015XX</v>
      </c>
      <c r="L250" s="391" t="s">
        <v>1996</v>
      </c>
      <c r="M250" s="398" t="s">
        <v>728</v>
      </c>
      <c r="N250" s="399">
        <v>12026</v>
      </c>
      <c r="O250" s="399" t="s">
        <v>885</v>
      </c>
      <c r="P250" s="398" t="s">
        <v>574</v>
      </c>
    </row>
    <row r="251" spans="1:16" s="401" customFormat="1" ht="36">
      <c r="A251" s="452">
        <f t="shared" si="8"/>
        <v>248</v>
      </c>
      <c r="B251" s="387">
        <v>46053</v>
      </c>
      <c r="C251" s="388">
        <v>46024</v>
      </c>
      <c r="D251" s="389" t="s">
        <v>339</v>
      </c>
      <c r="E251" s="389" t="s">
        <v>339</v>
      </c>
      <c r="F251" s="404">
        <v>3245.34</v>
      </c>
      <c r="G251" s="397" t="s">
        <v>1022</v>
      </c>
      <c r="H251" s="389" t="s">
        <v>280</v>
      </c>
      <c r="I251" s="394" t="s">
        <v>744</v>
      </c>
      <c r="J251" s="455">
        <v>7837375000150</v>
      </c>
      <c r="K251" s="390" t="str">
        <f t="shared" si="10"/>
        <v>XXX737500015XX</v>
      </c>
      <c r="L251" s="391" t="s">
        <v>1996</v>
      </c>
      <c r="M251" s="398" t="s">
        <v>729</v>
      </c>
      <c r="N251" s="399">
        <v>12026</v>
      </c>
      <c r="O251" s="399" t="s">
        <v>885</v>
      </c>
      <c r="P251" s="398" t="s">
        <v>572</v>
      </c>
    </row>
    <row r="252" spans="1:16" s="401" customFormat="1" ht="36">
      <c r="A252" s="452">
        <f t="shared" si="8"/>
        <v>249</v>
      </c>
      <c r="B252" s="387">
        <v>46053</v>
      </c>
      <c r="C252" s="388">
        <v>46024</v>
      </c>
      <c r="D252" s="389" t="s">
        <v>339</v>
      </c>
      <c r="E252" s="389" t="s">
        <v>339</v>
      </c>
      <c r="F252" s="404">
        <v>-596.07000000000005</v>
      </c>
      <c r="G252" s="397" t="s">
        <v>1023</v>
      </c>
      <c r="H252" s="389" t="s">
        <v>280</v>
      </c>
      <c r="I252" s="394" t="s">
        <v>744</v>
      </c>
      <c r="J252" s="455">
        <v>7837375000150</v>
      </c>
      <c r="K252" s="390" t="str">
        <f t="shared" si="10"/>
        <v>XXX737500015XX</v>
      </c>
      <c r="L252" s="391" t="s">
        <v>1996</v>
      </c>
      <c r="M252" s="398" t="s">
        <v>730</v>
      </c>
      <c r="N252" s="399">
        <v>12026</v>
      </c>
      <c r="O252" s="399" t="s">
        <v>885</v>
      </c>
      <c r="P252" s="398" t="s">
        <v>572</v>
      </c>
    </row>
    <row r="253" spans="1:16" s="401" customFormat="1" ht="36">
      <c r="A253" s="452">
        <f t="shared" si="8"/>
        <v>250</v>
      </c>
      <c r="B253" s="387">
        <v>46053</v>
      </c>
      <c r="C253" s="388">
        <v>46024</v>
      </c>
      <c r="D253" s="389" t="s">
        <v>339</v>
      </c>
      <c r="E253" s="389" t="s">
        <v>339</v>
      </c>
      <c r="F253" s="404">
        <v>-633.71</v>
      </c>
      <c r="G253" s="397" t="s">
        <v>867</v>
      </c>
      <c r="H253" s="389" t="s">
        <v>280</v>
      </c>
      <c r="I253" s="394" t="s">
        <v>744</v>
      </c>
      <c r="J253" s="455">
        <v>7837375000150</v>
      </c>
      <c r="K253" s="390" t="str">
        <f t="shared" si="10"/>
        <v>XXX737500015XX</v>
      </c>
      <c r="L253" s="391" t="s">
        <v>1996</v>
      </c>
      <c r="M253" s="398" t="s">
        <v>753</v>
      </c>
      <c r="N253" s="399">
        <v>12026</v>
      </c>
      <c r="O253" s="399" t="s">
        <v>885</v>
      </c>
      <c r="P253" s="398" t="s">
        <v>572</v>
      </c>
    </row>
    <row r="254" spans="1:16" s="401" customFormat="1" ht="36">
      <c r="A254" s="452">
        <f t="shared" si="8"/>
        <v>251</v>
      </c>
      <c r="B254" s="387">
        <v>46053</v>
      </c>
      <c r="C254" s="388">
        <v>46024</v>
      </c>
      <c r="D254" s="389" t="s">
        <v>353</v>
      </c>
      <c r="E254" s="394" t="s">
        <v>336</v>
      </c>
      <c r="F254" s="404">
        <v>195.31</v>
      </c>
      <c r="G254" s="397" t="s">
        <v>1022</v>
      </c>
      <c r="H254" s="389" t="s">
        <v>280</v>
      </c>
      <c r="I254" s="394" t="s">
        <v>744</v>
      </c>
      <c r="J254" s="455">
        <v>7837375000150</v>
      </c>
      <c r="K254" s="390" t="str">
        <f t="shared" si="10"/>
        <v>XXX737500015XX</v>
      </c>
      <c r="L254" s="391" t="s">
        <v>1996</v>
      </c>
      <c r="M254" s="398" t="s">
        <v>732</v>
      </c>
      <c r="N254" s="399">
        <v>12026</v>
      </c>
      <c r="O254" s="399" t="s">
        <v>885</v>
      </c>
      <c r="P254" s="398" t="s">
        <v>797</v>
      </c>
    </row>
    <row r="255" spans="1:16" s="401" customFormat="1" ht="36">
      <c r="A255" s="452">
        <f t="shared" si="8"/>
        <v>252</v>
      </c>
      <c r="B255" s="387">
        <v>46053</v>
      </c>
      <c r="C255" s="388">
        <v>46024</v>
      </c>
      <c r="D255" s="389" t="s">
        <v>353</v>
      </c>
      <c r="E255" s="394" t="s">
        <v>336</v>
      </c>
      <c r="F255" s="404">
        <v>45484.28</v>
      </c>
      <c r="G255" s="397" t="s">
        <v>1024</v>
      </c>
      <c r="H255" s="389" t="s">
        <v>280</v>
      </c>
      <c r="I255" s="394" t="s">
        <v>744</v>
      </c>
      <c r="J255" s="455">
        <v>7837375000150</v>
      </c>
      <c r="K255" s="390" t="str">
        <f t="shared" si="10"/>
        <v>XXX737500015XX</v>
      </c>
      <c r="L255" s="391" t="s">
        <v>1996</v>
      </c>
      <c r="M255" s="398" t="s">
        <v>733</v>
      </c>
      <c r="N255" s="399">
        <v>12026</v>
      </c>
      <c r="O255" s="399" t="s">
        <v>885</v>
      </c>
      <c r="P255" s="398" t="s">
        <v>868</v>
      </c>
    </row>
    <row r="256" spans="1:16" s="401" customFormat="1" ht="36">
      <c r="A256" s="452">
        <f t="shared" si="8"/>
        <v>253</v>
      </c>
      <c r="B256" s="387">
        <v>46053</v>
      </c>
      <c r="C256" s="388">
        <v>46024</v>
      </c>
      <c r="D256" s="389" t="s">
        <v>353</v>
      </c>
      <c r="E256" s="394" t="s">
        <v>336</v>
      </c>
      <c r="F256" s="404">
        <v>-36.99</v>
      </c>
      <c r="G256" s="397" t="s">
        <v>1025</v>
      </c>
      <c r="H256" s="389" t="s">
        <v>280</v>
      </c>
      <c r="I256" s="394" t="s">
        <v>744</v>
      </c>
      <c r="J256" s="455">
        <v>7837375000150</v>
      </c>
      <c r="K256" s="390" t="str">
        <f t="shared" si="10"/>
        <v>XXX737500015XX</v>
      </c>
      <c r="L256" s="391" t="s">
        <v>1996</v>
      </c>
      <c r="M256" s="398" t="s">
        <v>731</v>
      </c>
      <c r="N256" s="399">
        <v>12026</v>
      </c>
      <c r="O256" s="399" t="s">
        <v>885</v>
      </c>
      <c r="P256" s="398" t="s">
        <v>868</v>
      </c>
    </row>
    <row r="257" spans="1:16" s="401" customFormat="1" ht="36">
      <c r="A257" s="452">
        <f t="shared" si="8"/>
        <v>254</v>
      </c>
      <c r="B257" s="387">
        <v>46053</v>
      </c>
      <c r="C257" s="388">
        <v>46024</v>
      </c>
      <c r="D257" s="389" t="s">
        <v>353</v>
      </c>
      <c r="E257" s="394" t="s">
        <v>336</v>
      </c>
      <c r="F257" s="404">
        <v>-10.01</v>
      </c>
      <c r="G257" s="397" t="s">
        <v>1026</v>
      </c>
      <c r="H257" s="389" t="s">
        <v>280</v>
      </c>
      <c r="I257" s="394" t="s">
        <v>744</v>
      </c>
      <c r="J257" s="455">
        <v>7837375000150</v>
      </c>
      <c r="K257" s="390" t="str">
        <f t="shared" si="10"/>
        <v>XXX737500015XX</v>
      </c>
      <c r="L257" s="391" t="s">
        <v>1996</v>
      </c>
      <c r="M257" s="398" t="s">
        <v>819</v>
      </c>
      <c r="N257" s="399">
        <v>12026</v>
      </c>
      <c r="O257" s="399" t="s">
        <v>885</v>
      </c>
      <c r="P257" s="398" t="s">
        <v>868</v>
      </c>
    </row>
    <row r="258" spans="1:16" s="401" customFormat="1" ht="36">
      <c r="A258" s="452">
        <f t="shared" si="8"/>
        <v>255</v>
      </c>
      <c r="B258" s="387">
        <v>46053</v>
      </c>
      <c r="C258" s="388">
        <v>46024</v>
      </c>
      <c r="D258" s="389" t="s">
        <v>353</v>
      </c>
      <c r="E258" s="394" t="s">
        <v>336</v>
      </c>
      <c r="F258" s="404">
        <v>27205.86</v>
      </c>
      <c r="G258" s="397" t="s">
        <v>1024</v>
      </c>
      <c r="H258" s="389" t="s">
        <v>280</v>
      </c>
      <c r="I258" s="394" t="s">
        <v>744</v>
      </c>
      <c r="J258" s="455">
        <v>7837375000150</v>
      </c>
      <c r="K258" s="390" t="str">
        <f t="shared" si="10"/>
        <v>XXX737500015XX</v>
      </c>
      <c r="L258" s="391" t="s">
        <v>1996</v>
      </c>
      <c r="M258" s="398" t="s">
        <v>733</v>
      </c>
      <c r="N258" s="399">
        <v>122025</v>
      </c>
      <c r="O258" s="399" t="s">
        <v>885</v>
      </c>
      <c r="P258" s="398" t="s">
        <v>576</v>
      </c>
    </row>
    <row r="259" spans="1:16" ht="60">
      <c r="A259" s="452">
        <f t="shared" si="8"/>
        <v>256</v>
      </c>
      <c r="B259" s="431">
        <v>46053</v>
      </c>
      <c r="C259" s="432">
        <v>42096</v>
      </c>
      <c r="D259" s="392" t="s">
        <v>132</v>
      </c>
      <c r="E259" s="396" t="s">
        <v>218</v>
      </c>
      <c r="F259" s="419">
        <v>50887.14</v>
      </c>
      <c r="G259" s="433" t="s">
        <v>1028</v>
      </c>
      <c r="H259" s="392" t="s">
        <v>278</v>
      </c>
      <c r="I259" s="394" t="s">
        <v>744</v>
      </c>
      <c r="J259" s="455">
        <v>7837375000150</v>
      </c>
      <c r="K259" s="390" t="str">
        <f t="shared" ref="K259" si="11">IF(J259="","",IF(LEN(J259)&gt;14,IF(ISBLANK(J259),"",J259),REPLACE(REPLACE(J259,1,3,"XXX"),13,2,"XX")))</f>
        <v>XXX737500015XX</v>
      </c>
      <c r="L259" s="391" t="s">
        <v>1996</v>
      </c>
      <c r="M259" s="394" t="s">
        <v>711</v>
      </c>
      <c r="N259" s="435">
        <v>42015</v>
      </c>
      <c r="O259" s="436">
        <v>42095</v>
      </c>
      <c r="P259" s="394" t="s">
        <v>574</v>
      </c>
    </row>
    <row r="260" spans="1:16" s="401" customFormat="1" ht="84">
      <c r="A260" s="452">
        <f t="shared" ref="A260:A323" si="12">IF(B260="","",ROW()-ROW($A$3))</f>
        <v>257</v>
      </c>
      <c r="B260" s="387">
        <v>46055</v>
      </c>
      <c r="C260" s="388">
        <v>46024</v>
      </c>
      <c r="D260" s="389" t="s">
        <v>248</v>
      </c>
      <c r="E260" s="398" t="s">
        <v>596</v>
      </c>
      <c r="F260" s="404">
        <v>10684.77</v>
      </c>
      <c r="G260" s="397" t="s">
        <v>1221</v>
      </c>
      <c r="H260" s="389" t="s">
        <v>737</v>
      </c>
      <c r="I260" s="398" t="s">
        <v>1040</v>
      </c>
      <c r="J260" s="399" t="s">
        <v>1041</v>
      </c>
      <c r="K260" s="390" t="str">
        <f t="shared" si="10"/>
        <v>XXX820800001XX</v>
      </c>
      <c r="L260" s="391" t="s">
        <v>1996</v>
      </c>
      <c r="M260" s="398" t="s">
        <v>707</v>
      </c>
      <c r="N260" s="399">
        <v>6</v>
      </c>
      <c r="O260" s="399" t="s">
        <v>900</v>
      </c>
      <c r="P260" s="398" t="s">
        <v>868</v>
      </c>
    </row>
    <row r="261" spans="1:16" s="401" customFormat="1" ht="36">
      <c r="A261" s="452">
        <f t="shared" si="12"/>
        <v>258</v>
      </c>
      <c r="B261" s="387">
        <v>46055</v>
      </c>
      <c r="C261" s="388">
        <v>46024</v>
      </c>
      <c r="D261" s="389" t="s">
        <v>248</v>
      </c>
      <c r="E261" s="398" t="s">
        <v>592</v>
      </c>
      <c r="F261" s="404">
        <v>115.7</v>
      </c>
      <c r="G261" s="397" t="s">
        <v>1222</v>
      </c>
      <c r="H261" s="389" t="s">
        <v>737</v>
      </c>
      <c r="I261" s="398" t="s">
        <v>1042</v>
      </c>
      <c r="J261" s="399" t="s">
        <v>1043</v>
      </c>
      <c r="K261" s="390" t="str">
        <f t="shared" si="10"/>
        <v>XXX881150001XX</v>
      </c>
      <c r="L261" s="391" t="s">
        <v>1996</v>
      </c>
      <c r="M261" s="398" t="s">
        <v>704</v>
      </c>
      <c r="N261" s="399">
        <v>131</v>
      </c>
      <c r="O261" s="399" t="s">
        <v>898</v>
      </c>
      <c r="P261" s="398" t="s">
        <v>574</v>
      </c>
    </row>
    <row r="262" spans="1:16" s="401" customFormat="1" ht="36">
      <c r="A262" s="452">
        <f t="shared" si="12"/>
        <v>259</v>
      </c>
      <c r="B262" s="387">
        <v>46055</v>
      </c>
      <c r="C262" s="388">
        <v>46024</v>
      </c>
      <c r="D262" s="389" t="s">
        <v>248</v>
      </c>
      <c r="E262" s="398" t="s">
        <v>597</v>
      </c>
      <c r="F262" s="404">
        <v>337.54</v>
      </c>
      <c r="G262" s="397" t="s">
        <v>1223</v>
      </c>
      <c r="H262" s="389" t="s">
        <v>278</v>
      </c>
      <c r="I262" s="398" t="s">
        <v>1044</v>
      </c>
      <c r="J262" s="399" t="s">
        <v>1045</v>
      </c>
      <c r="K262" s="390" t="str">
        <f t="shared" si="10"/>
        <v>XXX053330001XX</v>
      </c>
      <c r="L262" s="391" t="s">
        <v>1996</v>
      </c>
      <c r="M262" s="398" t="s">
        <v>704</v>
      </c>
      <c r="N262" s="399">
        <v>57419</v>
      </c>
      <c r="O262" s="399" t="s">
        <v>907</v>
      </c>
      <c r="P262" s="398" t="s">
        <v>574</v>
      </c>
    </row>
    <row r="263" spans="1:16" s="401" customFormat="1" ht="36">
      <c r="A263" s="452">
        <f t="shared" si="12"/>
        <v>260</v>
      </c>
      <c r="B263" s="387">
        <v>46055</v>
      </c>
      <c r="C263" s="388">
        <v>46024</v>
      </c>
      <c r="D263" s="389" t="s">
        <v>248</v>
      </c>
      <c r="E263" s="398" t="s">
        <v>1208</v>
      </c>
      <c r="F263" s="404">
        <v>610.84</v>
      </c>
      <c r="G263" s="397" t="s">
        <v>1224</v>
      </c>
      <c r="H263" s="389" t="s">
        <v>278</v>
      </c>
      <c r="I263" s="398" t="s">
        <v>1046</v>
      </c>
      <c r="J263" s="399" t="s">
        <v>1047</v>
      </c>
      <c r="K263" s="390" t="str">
        <f t="shared" si="10"/>
        <v>XXX456080001XX</v>
      </c>
      <c r="L263" s="391" t="s">
        <v>1996</v>
      </c>
      <c r="M263" s="398" t="s">
        <v>704</v>
      </c>
      <c r="N263" s="399">
        <v>3164</v>
      </c>
      <c r="O263" s="399" t="s">
        <v>904</v>
      </c>
      <c r="P263" s="398" t="s">
        <v>574</v>
      </c>
    </row>
    <row r="264" spans="1:16" s="401" customFormat="1" ht="48">
      <c r="A264" s="452">
        <f t="shared" si="12"/>
        <v>261</v>
      </c>
      <c r="B264" s="387">
        <v>46055</v>
      </c>
      <c r="C264" s="388">
        <v>46055</v>
      </c>
      <c r="D264" s="389" t="s">
        <v>353</v>
      </c>
      <c r="E264" s="398" t="s">
        <v>587</v>
      </c>
      <c r="F264" s="404">
        <v>100</v>
      </c>
      <c r="G264" s="397" t="s">
        <v>1225</v>
      </c>
      <c r="H264" s="389" t="s">
        <v>280</v>
      </c>
      <c r="I264" s="394" t="s">
        <v>744</v>
      </c>
      <c r="J264" s="455">
        <v>7837375000150</v>
      </c>
      <c r="K264" s="390" t="str">
        <f t="shared" ref="K264:K286" si="13">IF(J264="","",IF(LEN(J264)&gt;14,IF(ISBLANK(J264),"",J264),REPLACE(REPLACE(J264,1,3,"XXX"),13,2,"XX")))</f>
        <v>XXX737500015XX</v>
      </c>
      <c r="L264" s="391" t="s">
        <v>1996</v>
      </c>
      <c r="M264" s="398" t="s">
        <v>708</v>
      </c>
      <c r="N264" s="399">
        <v>22026</v>
      </c>
      <c r="O264" s="399" t="s">
        <v>1178</v>
      </c>
      <c r="P264" s="398" t="s">
        <v>574</v>
      </c>
    </row>
    <row r="265" spans="1:16" s="401" customFormat="1" ht="48">
      <c r="A265" s="452">
        <f t="shared" si="12"/>
        <v>262</v>
      </c>
      <c r="B265" s="387">
        <v>46055</v>
      </c>
      <c r="C265" s="388">
        <v>46055</v>
      </c>
      <c r="D265" s="389" t="s">
        <v>353</v>
      </c>
      <c r="E265" s="398" t="s">
        <v>587</v>
      </c>
      <c r="F265" s="404">
        <v>100</v>
      </c>
      <c r="G265" s="397" t="s">
        <v>1226</v>
      </c>
      <c r="H265" s="389" t="s">
        <v>280</v>
      </c>
      <c r="I265" s="394" t="s">
        <v>744</v>
      </c>
      <c r="J265" s="455">
        <v>7837375000150</v>
      </c>
      <c r="K265" s="390" t="str">
        <f t="shared" si="13"/>
        <v>XXX737500015XX</v>
      </c>
      <c r="L265" s="391" t="s">
        <v>1996</v>
      </c>
      <c r="M265" s="398" t="s">
        <v>708</v>
      </c>
      <c r="N265" s="399">
        <v>22026</v>
      </c>
      <c r="O265" s="399" t="s">
        <v>1178</v>
      </c>
      <c r="P265" s="398" t="s">
        <v>574</v>
      </c>
    </row>
    <row r="266" spans="1:16" s="401" customFormat="1" ht="48">
      <c r="A266" s="452">
        <f t="shared" si="12"/>
        <v>263</v>
      </c>
      <c r="B266" s="387">
        <v>46055</v>
      </c>
      <c r="C266" s="388">
        <v>46055</v>
      </c>
      <c r="D266" s="389" t="s">
        <v>353</v>
      </c>
      <c r="E266" s="398" t="s">
        <v>587</v>
      </c>
      <c r="F266" s="404">
        <v>100</v>
      </c>
      <c r="G266" s="397" t="s">
        <v>1227</v>
      </c>
      <c r="H266" s="389" t="s">
        <v>280</v>
      </c>
      <c r="I266" s="394" t="s">
        <v>744</v>
      </c>
      <c r="J266" s="455">
        <v>7837375000150</v>
      </c>
      <c r="K266" s="390" t="str">
        <f t="shared" si="13"/>
        <v>XXX737500015XX</v>
      </c>
      <c r="L266" s="391" t="s">
        <v>1996</v>
      </c>
      <c r="M266" s="398" t="s">
        <v>708</v>
      </c>
      <c r="N266" s="399">
        <v>22026</v>
      </c>
      <c r="O266" s="399" t="s">
        <v>1178</v>
      </c>
      <c r="P266" s="398" t="s">
        <v>574</v>
      </c>
    </row>
    <row r="267" spans="1:16" s="401" customFormat="1" ht="36">
      <c r="A267" s="452">
        <f t="shared" si="12"/>
        <v>264</v>
      </c>
      <c r="B267" s="387">
        <v>46056</v>
      </c>
      <c r="C267" s="388">
        <v>46024</v>
      </c>
      <c r="D267" s="389" t="s">
        <v>248</v>
      </c>
      <c r="E267" s="395" t="s">
        <v>477</v>
      </c>
      <c r="F267" s="404">
        <v>3541.76</v>
      </c>
      <c r="G267" s="397" t="s">
        <v>1228</v>
      </c>
      <c r="H267" s="389" t="s">
        <v>738</v>
      </c>
      <c r="I267" s="398" t="s">
        <v>1048</v>
      </c>
      <c r="J267" s="399" t="s">
        <v>1049</v>
      </c>
      <c r="K267" s="390" t="str">
        <f t="shared" si="13"/>
        <v>XXX832530001XX</v>
      </c>
      <c r="L267" s="391" t="s">
        <v>1996</v>
      </c>
      <c r="M267" s="398" t="s">
        <v>704</v>
      </c>
      <c r="N267" s="399">
        <v>233</v>
      </c>
      <c r="O267" s="399" t="s">
        <v>904</v>
      </c>
      <c r="P267" s="398" t="s">
        <v>868</v>
      </c>
    </row>
    <row r="268" spans="1:16" s="401" customFormat="1" ht="48">
      <c r="A268" s="452">
        <f t="shared" si="12"/>
        <v>265</v>
      </c>
      <c r="B268" s="387">
        <v>46056</v>
      </c>
      <c r="C268" s="388">
        <v>46055</v>
      </c>
      <c r="D268" s="389" t="s">
        <v>353</v>
      </c>
      <c r="E268" s="398" t="s">
        <v>587</v>
      </c>
      <c r="F268" s="404">
        <v>100</v>
      </c>
      <c r="G268" s="397" t="s">
        <v>1229</v>
      </c>
      <c r="H268" s="389" t="s">
        <v>280</v>
      </c>
      <c r="I268" s="394" t="s">
        <v>744</v>
      </c>
      <c r="J268" s="455">
        <v>7837375000150</v>
      </c>
      <c r="K268" s="390" t="str">
        <f t="shared" si="13"/>
        <v>XXX737500015XX</v>
      </c>
      <c r="L268" s="391" t="s">
        <v>1996</v>
      </c>
      <c r="M268" s="398" t="s">
        <v>708</v>
      </c>
      <c r="N268" s="399">
        <v>22026</v>
      </c>
      <c r="O268" s="399" t="s">
        <v>1178</v>
      </c>
      <c r="P268" s="398" t="s">
        <v>574</v>
      </c>
    </row>
    <row r="269" spans="1:16" s="401" customFormat="1" ht="48">
      <c r="A269" s="452">
        <f t="shared" si="12"/>
        <v>266</v>
      </c>
      <c r="B269" s="387">
        <v>46056</v>
      </c>
      <c r="C269" s="388">
        <v>46055</v>
      </c>
      <c r="D269" s="389" t="s">
        <v>353</v>
      </c>
      <c r="E269" s="398" t="s">
        <v>587</v>
      </c>
      <c r="F269" s="404">
        <v>100</v>
      </c>
      <c r="G269" s="397" t="s">
        <v>1230</v>
      </c>
      <c r="H269" s="389" t="s">
        <v>280</v>
      </c>
      <c r="I269" s="394" t="s">
        <v>744</v>
      </c>
      <c r="J269" s="455">
        <v>7837375000150</v>
      </c>
      <c r="K269" s="390" t="str">
        <f t="shared" si="13"/>
        <v>XXX737500015XX</v>
      </c>
      <c r="L269" s="391" t="s">
        <v>1996</v>
      </c>
      <c r="M269" s="398" t="s">
        <v>708</v>
      </c>
      <c r="N269" s="399">
        <v>22026</v>
      </c>
      <c r="O269" s="399" t="s">
        <v>1178</v>
      </c>
      <c r="P269" s="398" t="s">
        <v>574</v>
      </c>
    </row>
    <row r="270" spans="1:16" s="401" customFormat="1" ht="72">
      <c r="A270" s="452">
        <f t="shared" si="12"/>
        <v>267</v>
      </c>
      <c r="B270" s="387">
        <v>46056</v>
      </c>
      <c r="C270" s="388">
        <v>46055</v>
      </c>
      <c r="D270" s="389" t="s">
        <v>248</v>
      </c>
      <c r="E270" s="398" t="s">
        <v>595</v>
      </c>
      <c r="F270" s="404">
        <v>20733</v>
      </c>
      <c r="G270" s="397" t="s">
        <v>1231</v>
      </c>
      <c r="H270" s="389" t="s">
        <v>278</v>
      </c>
      <c r="I270" s="398" t="s">
        <v>1050</v>
      </c>
      <c r="J270" s="399" t="s">
        <v>1051</v>
      </c>
      <c r="K270" s="390" t="str">
        <f t="shared" si="13"/>
        <v>XXX019880001XX</v>
      </c>
      <c r="L270" s="391" t="s">
        <v>1996</v>
      </c>
      <c r="M270" s="398" t="s">
        <v>706</v>
      </c>
      <c r="N270" s="399">
        <v>2057887378</v>
      </c>
      <c r="O270" s="399" t="s">
        <v>1179</v>
      </c>
      <c r="P270" s="398" t="s">
        <v>574</v>
      </c>
    </row>
    <row r="271" spans="1:16" s="401" customFormat="1" ht="24">
      <c r="A271" s="452">
        <f t="shared" si="12"/>
        <v>268</v>
      </c>
      <c r="B271" s="387">
        <v>46057</v>
      </c>
      <c r="C271" s="388">
        <v>46055</v>
      </c>
      <c r="D271" s="389" t="s">
        <v>166</v>
      </c>
      <c r="E271" s="398" t="s">
        <v>583</v>
      </c>
      <c r="F271" s="404">
        <v>2524.58</v>
      </c>
      <c r="G271" s="397" t="s">
        <v>1232</v>
      </c>
      <c r="H271" s="389" t="s">
        <v>166</v>
      </c>
      <c r="I271" s="398" t="s">
        <v>1052</v>
      </c>
      <c r="J271" s="399" t="s">
        <v>1053</v>
      </c>
      <c r="K271" s="390" t="str">
        <f t="shared" si="13"/>
        <v>XXX29033610 XX</v>
      </c>
      <c r="L271" s="391" t="s">
        <v>1996</v>
      </c>
      <c r="M271" s="398" t="s">
        <v>705</v>
      </c>
      <c r="N271" s="399">
        <v>733</v>
      </c>
      <c r="O271" s="399" t="s">
        <v>1180</v>
      </c>
      <c r="P271" s="398" t="s">
        <v>573</v>
      </c>
    </row>
    <row r="272" spans="1:16" s="401" customFormat="1" ht="48">
      <c r="A272" s="452">
        <f t="shared" si="12"/>
        <v>269</v>
      </c>
      <c r="B272" s="387">
        <v>46057</v>
      </c>
      <c r="C272" s="388">
        <v>46055</v>
      </c>
      <c r="D272" s="389" t="s">
        <v>353</v>
      </c>
      <c r="E272" s="398" t="s">
        <v>587</v>
      </c>
      <c r="F272" s="404">
        <v>100</v>
      </c>
      <c r="G272" s="397" t="s">
        <v>1233</v>
      </c>
      <c r="H272" s="389" t="s">
        <v>280</v>
      </c>
      <c r="I272" s="394" t="s">
        <v>744</v>
      </c>
      <c r="J272" s="455">
        <v>7837375000150</v>
      </c>
      <c r="K272" s="390" t="str">
        <f t="shared" si="13"/>
        <v>XXX737500015XX</v>
      </c>
      <c r="L272" s="391" t="s">
        <v>1996</v>
      </c>
      <c r="M272" s="398" t="s">
        <v>708</v>
      </c>
      <c r="N272" s="399">
        <v>22026</v>
      </c>
      <c r="O272" s="399" t="s">
        <v>1181</v>
      </c>
      <c r="P272" s="398" t="s">
        <v>574</v>
      </c>
    </row>
    <row r="273" spans="1:16" s="401" customFormat="1" ht="48">
      <c r="A273" s="452">
        <f t="shared" si="12"/>
        <v>270</v>
      </c>
      <c r="B273" s="387">
        <v>46057</v>
      </c>
      <c r="C273" s="388">
        <v>46024</v>
      </c>
      <c r="D273" s="389" t="s">
        <v>353</v>
      </c>
      <c r="E273" s="394" t="s">
        <v>334</v>
      </c>
      <c r="F273" s="404">
        <v>6000</v>
      </c>
      <c r="G273" s="397" t="s">
        <v>1234</v>
      </c>
      <c r="H273" s="389" t="s">
        <v>280</v>
      </c>
      <c r="I273" s="394" t="s">
        <v>744</v>
      </c>
      <c r="J273" s="455">
        <v>7837375000150</v>
      </c>
      <c r="K273" s="390" t="str">
        <f t="shared" si="13"/>
        <v>XXX737500015XX</v>
      </c>
      <c r="L273" s="391" t="s">
        <v>1996</v>
      </c>
      <c r="M273" s="398" t="s">
        <v>711</v>
      </c>
      <c r="N273" s="399">
        <v>122025</v>
      </c>
      <c r="O273" s="399" t="s">
        <v>912</v>
      </c>
      <c r="P273" s="398" t="s">
        <v>868</v>
      </c>
    </row>
    <row r="274" spans="1:16" s="401" customFormat="1" ht="48">
      <c r="A274" s="452">
        <f t="shared" si="12"/>
        <v>271</v>
      </c>
      <c r="B274" s="387">
        <v>46057</v>
      </c>
      <c r="C274" s="388">
        <v>46055</v>
      </c>
      <c r="D274" s="389" t="s">
        <v>353</v>
      </c>
      <c r="E274" s="394" t="s">
        <v>334</v>
      </c>
      <c r="F274" s="404">
        <v>1.04</v>
      </c>
      <c r="G274" s="397" t="s">
        <v>1235</v>
      </c>
      <c r="H274" s="389" t="s">
        <v>280</v>
      </c>
      <c r="I274" s="394" t="s">
        <v>744</v>
      </c>
      <c r="J274" s="455">
        <v>7837375000150</v>
      </c>
      <c r="K274" s="390" t="str">
        <f t="shared" si="13"/>
        <v>XXX737500015XX</v>
      </c>
      <c r="L274" s="391" t="s">
        <v>1996</v>
      </c>
      <c r="M274" s="398" t="s">
        <v>711</v>
      </c>
      <c r="N274" s="399">
        <v>22026</v>
      </c>
      <c r="O274" s="399" t="s">
        <v>1181</v>
      </c>
      <c r="P274" s="398" t="s">
        <v>868</v>
      </c>
    </row>
    <row r="275" spans="1:16" s="401" customFormat="1" ht="36">
      <c r="A275" s="452">
        <f t="shared" si="12"/>
        <v>272</v>
      </c>
      <c r="B275" s="387">
        <v>46058</v>
      </c>
      <c r="C275" s="388">
        <v>46024</v>
      </c>
      <c r="D275" s="389" t="s">
        <v>166</v>
      </c>
      <c r="E275" s="398" t="s">
        <v>581</v>
      </c>
      <c r="F275" s="404">
        <v>634.27</v>
      </c>
      <c r="G275" s="397" t="s">
        <v>1236</v>
      </c>
      <c r="H275" s="389" t="s">
        <v>166</v>
      </c>
      <c r="I275" s="398" t="s">
        <v>611</v>
      </c>
      <c r="J275" s="399" t="s">
        <v>612</v>
      </c>
      <c r="K275" s="390" t="str">
        <f t="shared" si="13"/>
        <v>XXX312660001XX</v>
      </c>
      <c r="L275" s="391" t="s">
        <v>1996</v>
      </c>
      <c r="M275" s="398" t="s">
        <v>704</v>
      </c>
      <c r="N275" s="399">
        <v>3687</v>
      </c>
      <c r="O275" s="399" t="s">
        <v>907</v>
      </c>
      <c r="P275" s="398" t="s">
        <v>574</v>
      </c>
    </row>
    <row r="276" spans="1:16" s="401" customFormat="1" ht="36">
      <c r="A276" s="452">
        <f t="shared" si="12"/>
        <v>273</v>
      </c>
      <c r="B276" s="387">
        <v>46058</v>
      </c>
      <c r="C276" s="388">
        <v>46024</v>
      </c>
      <c r="D276" s="389" t="s">
        <v>166</v>
      </c>
      <c r="E276" s="398" t="s">
        <v>581</v>
      </c>
      <c r="F276" s="404">
        <v>554.91</v>
      </c>
      <c r="G276" s="397" t="s">
        <v>1236</v>
      </c>
      <c r="H276" s="389" t="s">
        <v>166</v>
      </c>
      <c r="I276" s="398" t="s">
        <v>611</v>
      </c>
      <c r="J276" s="399" t="s">
        <v>612</v>
      </c>
      <c r="K276" s="390" t="str">
        <f t="shared" si="13"/>
        <v>XXX312660001XX</v>
      </c>
      <c r="L276" s="391" t="s">
        <v>1996</v>
      </c>
      <c r="M276" s="398" t="s">
        <v>704</v>
      </c>
      <c r="N276" s="399">
        <v>3695</v>
      </c>
      <c r="O276" s="399" t="s">
        <v>907</v>
      </c>
      <c r="P276" s="398" t="s">
        <v>574</v>
      </c>
    </row>
    <row r="277" spans="1:16" s="401" customFormat="1" ht="36">
      <c r="A277" s="452">
        <f t="shared" si="12"/>
        <v>274</v>
      </c>
      <c r="B277" s="387">
        <v>46058</v>
      </c>
      <c r="C277" s="388">
        <v>46055</v>
      </c>
      <c r="D277" s="389" t="s">
        <v>338</v>
      </c>
      <c r="E277" s="398" t="s">
        <v>1416</v>
      </c>
      <c r="F277" s="404">
        <v>1842751</v>
      </c>
      <c r="G277" s="397" t="s">
        <v>1237</v>
      </c>
      <c r="H277" s="389" t="s">
        <v>280</v>
      </c>
      <c r="I277" s="394" t="s">
        <v>744</v>
      </c>
      <c r="J277" s="455">
        <v>7837375000150</v>
      </c>
      <c r="K277" s="390" t="str">
        <f t="shared" si="13"/>
        <v>XXX737500015XX</v>
      </c>
      <c r="L277" s="391" t="s">
        <v>1996</v>
      </c>
      <c r="M277" s="398" t="s">
        <v>707</v>
      </c>
      <c r="N277" s="399">
        <v>22026</v>
      </c>
      <c r="O277" s="399" t="s">
        <v>1180</v>
      </c>
      <c r="P277" s="398" t="s">
        <v>572</v>
      </c>
    </row>
    <row r="278" spans="1:16" s="401" customFormat="1" ht="36">
      <c r="A278" s="452">
        <f t="shared" si="12"/>
        <v>275</v>
      </c>
      <c r="B278" s="387">
        <v>46058</v>
      </c>
      <c r="C278" s="388">
        <v>46055</v>
      </c>
      <c r="D278" s="389" t="s">
        <v>353</v>
      </c>
      <c r="E278" s="394" t="s">
        <v>153</v>
      </c>
      <c r="F278" s="404">
        <v>48506.71</v>
      </c>
      <c r="G278" s="397" t="s">
        <v>821</v>
      </c>
      <c r="H278" s="389" t="s">
        <v>280</v>
      </c>
      <c r="I278" s="394" t="s">
        <v>744</v>
      </c>
      <c r="J278" s="455">
        <v>7837375000150</v>
      </c>
      <c r="K278" s="390" t="str">
        <f t="shared" si="13"/>
        <v>XXX737500015XX</v>
      </c>
      <c r="L278" s="391" t="s">
        <v>1996</v>
      </c>
      <c r="M278" s="398" t="s">
        <v>706</v>
      </c>
      <c r="N278" s="399">
        <v>5022026</v>
      </c>
      <c r="O278" s="399" t="s">
        <v>1182</v>
      </c>
      <c r="P278" s="398" t="s">
        <v>574</v>
      </c>
    </row>
    <row r="279" spans="1:16" s="401" customFormat="1" ht="36">
      <c r="A279" s="452">
        <f t="shared" si="12"/>
        <v>276</v>
      </c>
      <c r="B279" s="387">
        <v>46059</v>
      </c>
      <c r="C279" s="388">
        <v>46024</v>
      </c>
      <c r="D279" s="389" t="s">
        <v>248</v>
      </c>
      <c r="E279" s="398" t="s">
        <v>1209</v>
      </c>
      <c r="F279" s="404">
        <v>960.96</v>
      </c>
      <c r="G279" s="397" t="s">
        <v>1238</v>
      </c>
      <c r="H279" s="389" t="s">
        <v>278</v>
      </c>
      <c r="I279" s="398" t="s">
        <v>1054</v>
      </c>
      <c r="J279" s="399" t="s">
        <v>1055</v>
      </c>
      <c r="K279" s="390" t="str">
        <f t="shared" si="13"/>
        <v>XXX162210001XX</v>
      </c>
      <c r="L279" s="391" t="s">
        <v>1996</v>
      </c>
      <c r="M279" s="398" t="s">
        <v>704</v>
      </c>
      <c r="N279" s="399">
        <v>38334923</v>
      </c>
      <c r="O279" s="399" t="s">
        <v>896</v>
      </c>
      <c r="P279" s="398" t="s">
        <v>574</v>
      </c>
    </row>
    <row r="280" spans="1:16" s="401" customFormat="1" ht="36">
      <c r="A280" s="452">
        <f t="shared" si="12"/>
        <v>277</v>
      </c>
      <c r="B280" s="387">
        <v>46059</v>
      </c>
      <c r="C280" s="388">
        <v>46024</v>
      </c>
      <c r="D280" s="389" t="s">
        <v>248</v>
      </c>
      <c r="E280" s="398" t="s">
        <v>1209</v>
      </c>
      <c r="F280" s="404">
        <v>960.96</v>
      </c>
      <c r="G280" s="397" t="s">
        <v>1238</v>
      </c>
      <c r="H280" s="389" t="s">
        <v>278</v>
      </c>
      <c r="I280" s="398" t="s">
        <v>1054</v>
      </c>
      <c r="J280" s="399" t="s">
        <v>1055</v>
      </c>
      <c r="K280" s="390" t="str">
        <f t="shared" si="13"/>
        <v>XXX162210001XX</v>
      </c>
      <c r="L280" s="391" t="s">
        <v>1996</v>
      </c>
      <c r="M280" s="398" t="s">
        <v>704</v>
      </c>
      <c r="N280" s="399">
        <v>38334924</v>
      </c>
      <c r="O280" s="399" t="s">
        <v>896</v>
      </c>
      <c r="P280" s="398" t="s">
        <v>574</v>
      </c>
    </row>
    <row r="281" spans="1:16" s="401" customFormat="1" ht="36">
      <c r="A281" s="452">
        <f t="shared" si="12"/>
        <v>278</v>
      </c>
      <c r="B281" s="387">
        <v>46059</v>
      </c>
      <c r="C281" s="388">
        <v>46024</v>
      </c>
      <c r="D281" s="389" t="s">
        <v>248</v>
      </c>
      <c r="E281" s="398" t="s">
        <v>1209</v>
      </c>
      <c r="F281" s="404">
        <v>960.96</v>
      </c>
      <c r="G281" s="397" t="s">
        <v>1238</v>
      </c>
      <c r="H281" s="389" t="s">
        <v>278</v>
      </c>
      <c r="I281" s="398" t="s">
        <v>1054</v>
      </c>
      <c r="J281" s="399" t="s">
        <v>1055</v>
      </c>
      <c r="K281" s="390" t="str">
        <f t="shared" si="13"/>
        <v>XXX162210001XX</v>
      </c>
      <c r="L281" s="391" t="s">
        <v>1996</v>
      </c>
      <c r="M281" s="398" t="s">
        <v>704</v>
      </c>
      <c r="N281" s="399">
        <v>38334925</v>
      </c>
      <c r="O281" s="399" t="s">
        <v>896</v>
      </c>
      <c r="P281" s="398" t="s">
        <v>574</v>
      </c>
    </row>
    <row r="282" spans="1:16" s="401" customFormat="1" ht="36">
      <c r="A282" s="452">
        <f t="shared" si="12"/>
        <v>279</v>
      </c>
      <c r="B282" s="387">
        <v>46059</v>
      </c>
      <c r="C282" s="388">
        <v>46024</v>
      </c>
      <c r="D282" s="389" t="s">
        <v>166</v>
      </c>
      <c r="E282" s="398" t="s">
        <v>4</v>
      </c>
      <c r="F282" s="404">
        <v>127780.78</v>
      </c>
      <c r="G282" s="397" t="s">
        <v>1239</v>
      </c>
      <c r="H282" s="389" t="s">
        <v>166</v>
      </c>
      <c r="I282" s="398" t="s">
        <v>647</v>
      </c>
      <c r="J282" s="399" t="s">
        <v>648</v>
      </c>
      <c r="K282" s="390" t="str">
        <f t="shared" si="13"/>
        <v>XXX603050001XX</v>
      </c>
      <c r="L282" s="391" t="s">
        <v>1996</v>
      </c>
      <c r="M282" s="398" t="s">
        <v>718</v>
      </c>
      <c r="N282" s="399">
        <v>1777</v>
      </c>
      <c r="O282" s="399" t="s">
        <v>885</v>
      </c>
      <c r="P282" s="398" t="s">
        <v>572</v>
      </c>
    </row>
    <row r="283" spans="1:16" s="401" customFormat="1" ht="36">
      <c r="A283" s="452">
        <f t="shared" si="12"/>
        <v>280</v>
      </c>
      <c r="B283" s="387">
        <v>46059</v>
      </c>
      <c r="C283" s="388">
        <v>46024</v>
      </c>
      <c r="D283" s="389" t="s">
        <v>166</v>
      </c>
      <c r="E283" s="398" t="s">
        <v>4</v>
      </c>
      <c r="F283" s="404">
        <v>6628.28</v>
      </c>
      <c r="G283" s="397" t="s">
        <v>1240</v>
      </c>
      <c r="H283" s="389" t="s">
        <v>166</v>
      </c>
      <c r="I283" s="398" t="s">
        <v>647</v>
      </c>
      <c r="J283" s="399" t="s">
        <v>648</v>
      </c>
      <c r="K283" s="390" t="str">
        <f t="shared" si="13"/>
        <v>XXX603050001XX</v>
      </c>
      <c r="L283" s="391" t="s">
        <v>1996</v>
      </c>
      <c r="M283" s="398" t="s">
        <v>718</v>
      </c>
      <c r="N283" s="399">
        <v>1777</v>
      </c>
      <c r="O283" s="399" t="s">
        <v>885</v>
      </c>
      <c r="P283" s="398" t="s">
        <v>572</v>
      </c>
    </row>
    <row r="284" spans="1:16" s="401" customFormat="1" ht="48">
      <c r="A284" s="452">
        <f t="shared" si="12"/>
        <v>281</v>
      </c>
      <c r="B284" s="387">
        <v>46059</v>
      </c>
      <c r="C284" s="388">
        <v>46024</v>
      </c>
      <c r="D284" s="389" t="s">
        <v>166</v>
      </c>
      <c r="E284" s="398" t="s">
        <v>1210</v>
      </c>
      <c r="F284" s="404">
        <v>3400</v>
      </c>
      <c r="G284" s="397" t="s">
        <v>1241</v>
      </c>
      <c r="H284" s="389" t="s">
        <v>166</v>
      </c>
      <c r="I284" s="398" t="s">
        <v>1056</v>
      </c>
      <c r="J284" s="399" t="s">
        <v>1057</v>
      </c>
      <c r="K284" s="390" t="str">
        <f t="shared" si="13"/>
        <v>XXX849360001XX</v>
      </c>
      <c r="L284" s="391" t="s">
        <v>1996</v>
      </c>
      <c r="M284" s="398" t="s">
        <v>708</v>
      </c>
      <c r="N284" s="399">
        <v>196</v>
      </c>
      <c r="O284" s="399" t="s">
        <v>885</v>
      </c>
      <c r="P284" s="398" t="s">
        <v>572</v>
      </c>
    </row>
    <row r="285" spans="1:16" s="401" customFormat="1" ht="36">
      <c r="A285" s="452">
        <f t="shared" si="12"/>
        <v>282</v>
      </c>
      <c r="B285" s="387">
        <v>46059</v>
      </c>
      <c r="C285" s="388">
        <v>46024</v>
      </c>
      <c r="D285" s="389" t="s">
        <v>166</v>
      </c>
      <c r="E285" s="398" t="s">
        <v>1210</v>
      </c>
      <c r="F285" s="404">
        <v>1621</v>
      </c>
      <c r="G285" s="397" t="s">
        <v>1242</v>
      </c>
      <c r="H285" s="389" t="s">
        <v>166</v>
      </c>
      <c r="I285" s="398" t="s">
        <v>744</v>
      </c>
      <c r="J285" s="399" t="s">
        <v>1058</v>
      </c>
      <c r="K285" s="390" t="str">
        <f t="shared" si="13"/>
        <v>XXX373750001XX</v>
      </c>
      <c r="L285" s="391" t="s">
        <v>1996</v>
      </c>
      <c r="M285" s="398" t="s">
        <v>708</v>
      </c>
      <c r="N285" s="399">
        <v>196</v>
      </c>
      <c r="O285" s="399" t="s">
        <v>885</v>
      </c>
      <c r="P285" s="398" t="s">
        <v>572</v>
      </c>
    </row>
    <row r="286" spans="1:16" s="401" customFormat="1" ht="36">
      <c r="A286" s="452">
        <f t="shared" si="12"/>
        <v>283</v>
      </c>
      <c r="B286" s="387">
        <v>46059</v>
      </c>
      <c r="C286" s="388">
        <v>46024</v>
      </c>
      <c r="D286" s="389" t="s">
        <v>166</v>
      </c>
      <c r="E286" s="398" t="s">
        <v>1210</v>
      </c>
      <c r="F286" s="404">
        <v>241552</v>
      </c>
      <c r="G286" s="397" t="s">
        <v>1243</v>
      </c>
      <c r="H286" s="389" t="s">
        <v>166</v>
      </c>
      <c r="I286" s="398" t="s">
        <v>744</v>
      </c>
      <c r="J286" s="399" t="s">
        <v>1058</v>
      </c>
      <c r="K286" s="390" t="str">
        <f t="shared" si="13"/>
        <v>XXX373750001XX</v>
      </c>
      <c r="L286" s="391" t="s">
        <v>1996</v>
      </c>
      <c r="M286" s="398" t="s">
        <v>708</v>
      </c>
      <c r="N286" s="399">
        <v>196</v>
      </c>
      <c r="O286" s="399" t="s">
        <v>885</v>
      </c>
      <c r="P286" s="398" t="s">
        <v>572</v>
      </c>
    </row>
    <row r="287" spans="1:16" s="401" customFormat="1" ht="36">
      <c r="A287" s="452">
        <f t="shared" si="12"/>
        <v>284</v>
      </c>
      <c r="B287" s="387">
        <v>46059</v>
      </c>
      <c r="C287" s="388">
        <v>46024</v>
      </c>
      <c r="D287" s="389" t="s">
        <v>353</v>
      </c>
      <c r="E287" s="394" t="s">
        <v>153</v>
      </c>
      <c r="F287" s="404">
        <v>40000</v>
      </c>
      <c r="G287" s="397" t="s">
        <v>1244</v>
      </c>
      <c r="H287" s="389" t="s">
        <v>280</v>
      </c>
      <c r="I287" s="394" t="s">
        <v>744</v>
      </c>
      <c r="J287" s="455">
        <v>7837375000150</v>
      </c>
      <c r="K287" s="390" t="str">
        <f t="shared" ref="K287:K334" si="14">IF(J287="","",IF(LEN(J287)&gt;14,IF(ISBLANK(J287),"",J287),REPLACE(REPLACE(J287,1,3,"XXX"),13,2,"XX")))</f>
        <v>XXX737500015XX</v>
      </c>
      <c r="L287" s="391" t="s">
        <v>1996</v>
      </c>
      <c r="M287" s="398" t="s">
        <v>707</v>
      </c>
      <c r="N287" s="399">
        <v>12026</v>
      </c>
      <c r="O287" s="399" t="s">
        <v>885</v>
      </c>
      <c r="P287" s="398" t="s">
        <v>574</v>
      </c>
    </row>
    <row r="288" spans="1:16" s="401" customFormat="1" ht="48">
      <c r="A288" s="452">
        <f t="shared" si="12"/>
        <v>285</v>
      </c>
      <c r="B288" s="387">
        <v>46059</v>
      </c>
      <c r="C288" s="388">
        <v>46055</v>
      </c>
      <c r="D288" s="389" t="s">
        <v>353</v>
      </c>
      <c r="E288" s="398" t="s">
        <v>587</v>
      </c>
      <c r="F288" s="404">
        <v>100</v>
      </c>
      <c r="G288" s="397" t="s">
        <v>1245</v>
      </c>
      <c r="H288" s="389" t="s">
        <v>280</v>
      </c>
      <c r="I288" s="394" t="s">
        <v>744</v>
      </c>
      <c r="J288" s="455">
        <v>7837375000150</v>
      </c>
      <c r="K288" s="390" t="str">
        <f t="shared" si="14"/>
        <v>XXX737500015XX</v>
      </c>
      <c r="L288" s="391" t="s">
        <v>1996</v>
      </c>
      <c r="M288" s="398" t="s">
        <v>708</v>
      </c>
      <c r="N288" s="399">
        <v>22026</v>
      </c>
      <c r="O288" s="399" t="s">
        <v>1182</v>
      </c>
      <c r="P288" s="398" t="s">
        <v>574</v>
      </c>
    </row>
    <row r="289" spans="1:16" s="401" customFormat="1" ht="36">
      <c r="A289" s="452">
        <f t="shared" si="12"/>
        <v>286</v>
      </c>
      <c r="B289" s="387">
        <v>46059</v>
      </c>
      <c r="C289" s="388">
        <v>46024</v>
      </c>
      <c r="D289" s="389" t="s">
        <v>353</v>
      </c>
      <c r="E289" s="394" t="s">
        <v>334</v>
      </c>
      <c r="F289" s="404">
        <v>2816.83</v>
      </c>
      <c r="G289" s="397" t="s">
        <v>1246</v>
      </c>
      <c r="H289" s="389" t="s">
        <v>280</v>
      </c>
      <c r="I289" s="394" t="s">
        <v>744</v>
      </c>
      <c r="J289" s="455">
        <v>7837375000150</v>
      </c>
      <c r="K289" s="390" t="str">
        <f t="shared" si="14"/>
        <v>XXX737500015XX</v>
      </c>
      <c r="L289" s="391" t="s">
        <v>1996</v>
      </c>
      <c r="M289" s="398" t="s">
        <v>707</v>
      </c>
      <c r="N289" s="399">
        <v>12026</v>
      </c>
      <c r="O289" s="399" t="s">
        <v>885</v>
      </c>
      <c r="P289" s="398" t="s">
        <v>574</v>
      </c>
    </row>
    <row r="290" spans="1:16" s="401" customFormat="1" ht="48">
      <c r="A290" s="452">
        <f t="shared" si="12"/>
        <v>287</v>
      </c>
      <c r="B290" s="387">
        <v>46059</v>
      </c>
      <c r="C290" s="388">
        <v>46055</v>
      </c>
      <c r="D290" s="389" t="s">
        <v>248</v>
      </c>
      <c r="E290" s="398" t="s">
        <v>593</v>
      </c>
      <c r="F290" s="404">
        <v>99179.74</v>
      </c>
      <c r="G290" s="397" t="s">
        <v>1247</v>
      </c>
      <c r="H290" s="389" t="s">
        <v>736</v>
      </c>
      <c r="I290" s="398" t="s">
        <v>1059</v>
      </c>
      <c r="J290" s="399" t="s">
        <v>1060</v>
      </c>
      <c r="K290" s="390" t="str">
        <f t="shared" si="14"/>
        <v>XXX414930001XX</v>
      </c>
      <c r="L290" s="391" t="s">
        <v>1996</v>
      </c>
      <c r="M290" s="398" t="s">
        <v>708</v>
      </c>
      <c r="N290" s="399">
        <v>1</v>
      </c>
      <c r="O290" s="399" t="s">
        <v>1178</v>
      </c>
      <c r="P290" s="398" t="s">
        <v>574</v>
      </c>
    </row>
    <row r="291" spans="1:16" s="401" customFormat="1" ht="36">
      <c r="A291" s="452">
        <f t="shared" si="12"/>
        <v>288</v>
      </c>
      <c r="B291" s="387">
        <v>46059</v>
      </c>
      <c r="C291" s="388">
        <v>46055</v>
      </c>
      <c r="D291" s="389" t="s">
        <v>248</v>
      </c>
      <c r="E291" s="398" t="s">
        <v>593</v>
      </c>
      <c r="F291" s="404">
        <v>26460</v>
      </c>
      <c r="G291" s="397" t="s">
        <v>1248</v>
      </c>
      <c r="H291" s="389" t="s">
        <v>736</v>
      </c>
      <c r="I291" s="398" t="s">
        <v>1061</v>
      </c>
      <c r="J291" s="399" t="s">
        <v>1062</v>
      </c>
      <c r="K291" s="390" t="str">
        <f t="shared" si="14"/>
        <v>XXX225430001XX</v>
      </c>
      <c r="L291" s="391" t="s">
        <v>1996</v>
      </c>
      <c r="M291" s="398" t="s">
        <v>708</v>
      </c>
      <c r="N291" s="399">
        <v>109</v>
      </c>
      <c r="O291" s="399" t="s">
        <v>1180</v>
      </c>
      <c r="P291" s="398" t="s">
        <v>574</v>
      </c>
    </row>
    <row r="292" spans="1:16" s="401" customFormat="1" ht="24">
      <c r="A292" s="452">
        <f t="shared" si="12"/>
        <v>289</v>
      </c>
      <c r="B292" s="387">
        <v>46059</v>
      </c>
      <c r="C292" s="388">
        <v>46055</v>
      </c>
      <c r="D292" s="389" t="s">
        <v>248</v>
      </c>
      <c r="E292" s="398" t="s">
        <v>597</v>
      </c>
      <c r="F292" s="404">
        <v>34.99</v>
      </c>
      <c r="G292" s="397" t="s">
        <v>1249</v>
      </c>
      <c r="H292" s="389" t="s">
        <v>278</v>
      </c>
      <c r="I292" s="398" t="s">
        <v>881</v>
      </c>
      <c r="J292" s="399" t="s">
        <v>773</v>
      </c>
      <c r="K292" s="390" t="str">
        <f t="shared" si="14"/>
        <v>XXX000000000XX</v>
      </c>
      <c r="L292" s="391" t="s">
        <v>1996</v>
      </c>
      <c r="M292" s="398" t="s">
        <v>710</v>
      </c>
      <c r="N292" s="399">
        <v>130468</v>
      </c>
      <c r="O292" s="399" t="s">
        <v>1182</v>
      </c>
      <c r="P292" s="398" t="s">
        <v>735</v>
      </c>
    </row>
    <row r="293" spans="1:16" s="401" customFormat="1" ht="36">
      <c r="A293" s="452">
        <f t="shared" si="12"/>
        <v>290</v>
      </c>
      <c r="B293" s="387">
        <v>46062</v>
      </c>
      <c r="C293" s="388">
        <v>46024</v>
      </c>
      <c r="D293" s="389" t="s">
        <v>248</v>
      </c>
      <c r="E293" s="393" t="s">
        <v>164</v>
      </c>
      <c r="F293" s="404">
        <v>14.44</v>
      </c>
      <c r="G293" s="397" t="s">
        <v>1810</v>
      </c>
      <c r="H293" s="389" t="s">
        <v>278</v>
      </c>
      <c r="I293" s="398" t="s">
        <v>635</v>
      </c>
      <c r="J293" s="399" t="s">
        <v>636</v>
      </c>
      <c r="K293" s="390" t="str">
        <f t="shared" si="14"/>
        <v>XXX153830001XX</v>
      </c>
      <c r="L293" s="391" t="s">
        <v>1996</v>
      </c>
      <c r="M293" s="398" t="s">
        <v>712</v>
      </c>
      <c r="N293" s="399">
        <v>349</v>
      </c>
      <c r="O293" s="399" t="s">
        <v>885</v>
      </c>
      <c r="P293" s="398" t="s">
        <v>574</v>
      </c>
    </row>
    <row r="294" spans="1:16" s="401" customFormat="1" ht="48">
      <c r="A294" s="452">
        <f t="shared" si="12"/>
        <v>291</v>
      </c>
      <c r="B294" s="387">
        <v>46062</v>
      </c>
      <c r="C294" s="388">
        <v>46024</v>
      </c>
      <c r="D294" s="389" t="s">
        <v>248</v>
      </c>
      <c r="E294" s="393" t="s">
        <v>164</v>
      </c>
      <c r="F294" s="404">
        <v>25.99</v>
      </c>
      <c r="G294" s="397" t="s">
        <v>1811</v>
      </c>
      <c r="H294" s="389" t="s">
        <v>278</v>
      </c>
      <c r="I294" s="398" t="s">
        <v>635</v>
      </c>
      <c r="J294" s="399" t="s">
        <v>636</v>
      </c>
      <c r="K294" s="390" t="str">
        <f t="shared" si="14"/>
        <v>XXX153830001XX</v>
      </c>
      <c r="L294" s="391" t="s">
        <v>1996</v>
      </c>
      <c r="M294" s="398" t="s">
        <v>712</v>
      </c>
      <c r="N294" s="399">
        <v>23</v>
      </c>
      <c r="O294" s="399" t="s">
        <v>894</v>
      </c>
      <c r="P294" s="398" t="s">
        <v>574</v>
      </c>
    </row>
    <row r="295" spans="1:16" s="401" customFormat="1" ht="36">
      <c r="A295" s="452">
        <f t="shared" si="12"/>
        <v>292</v>
      </c>
      <c r="B295" s="387">
        <v>46062</v>
      </c>
      <c r="C295" s="388">
        <v>46024</v>
      </c>
      <c r="D295" s="389" t="s">
        <v>248</v>
      </c>
      <c r="E295" s="395" t="s">
        <v>171</v>
      </c>
      <c r="F295" s="404">
        <v>19.54</v>
      </c>
      <c r="G295" s="397" t="s">
        <v>1812</v>
      </c>
      <c r="H295" s="389" t="s">
        <v>278</v>
      </c>
      <c r="I295" s="398" t="s">
        <v>635</v>
      </c>
      <c r="J295" s="399" t="s">
        <v>636</v>
      </c>
      <c r="K295" s="390" t="str">
        <f t="shared" si="14"/>
        <v>XXX153830001XX</v>
      </c>
      <c r="L295" s="391" t="s">
        <v>1996</v>
      </c>
      <c r="M295" s="398" t="s">
        <v>712</v>
      </c>
      <c r="N295" s="399">
        <v>116</v>
      </c>
      <c r="O295" s="399" t="s">
        <v>905</v>
      </c>
      <c r="P295" s="398" t="s">
        <v>574</v>
      </c>
    </row>
    <row r="296" spans="1:16" s="401" customFormat="1" ht="84">
      <c r="A296" s="452">
        <f t="shared" si="12"/>
        <v>293</v>
      </c>
      <c r="B296" s="387">
        <v>46062</v>
      </c>
      <c r="C296" s="388">
        <v>46024</v>
      </c>
      <c r="D296" s="389" t="s">
        <v>248</v>
      </c>
      <c r="E296" s="398" t="s">
        <v>596</v>
      </c>
      <c r="F296" s="404">
        <v>352.83</v>
      </c>
      <c r="G296" s="397" t="s">
        <v>1813</v>
      </c>
      <c r="H296" s="389" t="s">
        <v>737</v>
      </c>
      <c r="I296" s="398" t="s">
        <v>635</v>
      </c>
      <c r="J296" s="399" t="s">
        <v>636</v>
      </c>
      <c r="K296" s="390" t="str">
        <f t="shared" si="14"/>
        <v>XXX153830001XX</v>
      </c>
      <c r="L296" s="391" t="s">
        <v>1996</v>
      </c>
      <c r="M296" s="398" t="s">
        <v>712</v>
      </c>
      <c r="N296" s="399">
        <v>6</v>
      </c>
      <c r="O296" s="399" t="s">
        <v>900</v>
      </c>
      <c r="P296" s="398" t="s">
        <v>868</v>
      </c>
    </row>
    <row r="297" spans="1:16" s="401" customFormat="1" ht="60">
      <c r="A297" s="452">
        <f t="shared" si="12"/>
        <v>294</v>
      </c>
      <c r="B297" s="387">
        <v>46062</v>
      </c>
      <c r="C297" s="388">
        <v>46024</v>
      </c>
      <c r="D297" s="389" t="s">
        <v>248</v>
      </c>
      <c r="E297" s="398" t="s">
        <v>596</v>
      </c>
      <c r="F297" s="404">
        <v>70</v>
      </c>
      <c r="G297" s="397" t="s">
        <v>1814</v>
      </c>
      <c r="H297" s="389" t="s">
        <v>737</v>
      </c>
      <c r="I297" s="398" t="s">
        <v>635</v>
      </c>
      <c r="J297" s="399" t="s">
        <v>636</v>
      </c>
      <c r="K297" s="390" t="str">
        <f t="shared" si="14"/>
        <v>XXX153830001XX</v>
      </c>
      <c r="L297" s="391" t="s">
        <v>1996</v>
      </c>
      <c r="M297" s="398" t="s">
        <v>712</v>
      </c>
      <c r="N297" s="399">
        <v>100</v>
      </c>
      <c r="O297" s="399" t="s">
        <v>887</v>
      </c>
      <c r="P297" s="398" t="s">
        <v>868</v>
      </c>
    </row>
    <row r="298" spans="1:16" s="401" customFormat="1" ht="96">
      <c r="A298" s="452">
        <f t="shared" si="12"/>
        <v>295</v>
      </c>
      <c r="B298" s="387">
        <v>46062</v>
      </c>
      <c r="C298" s="388">
        <v>46024</v>
      </c>
      <c r="D298" s="389" t="s">
        <v>248</v>
      </c>
      <c r="E298" s="398" t="s">
        <v>595</v>
      </c>
      <c r="F298" s="404">
        <v>112.27</v>
      </c>
      <c r="G298" s="397" t="s">
        <v>1815</v>
      </c>
      <c r="H298" s="389" t="s">
        <v>278</v>
      </c>
      <c r="I298" s="398" t="s">
        <v>635</v>
      </c>
      <c r="J298" s="399" t="s">
        <v>636</v>
      </c>
      <c r="K298" s="390" t="str">
        <f t="shared" si="14"/>
        <v>XXX153830001XX</v>
      </c>
      <c r="L298" s="391" t="s">
        <v>1996</v>
      </c>
      <c r="M298" s="398" t="s">
        <v>712</v>
      </c>
      <c r="N298" s="399">
        <v>341</v>
      </c>
      <c r="O298" s="399" t="s">
        <v>900</v>
      </c>
      <c r="P298" s="398" t="s">
        <v>574</v>
      </c>
    </row>
    <row r="299" spans="1:16" s="401" customFormat="1" ht="36">
      <c r="A299" s="452">
        <f t="shared" si="12"/>
        <v>296</v>
      </c>
      <c r="B299" s="387">
        <v>46062</v>
      </c>
      <c r="C299" s="388">
        <v>46024</v>
      </c>
      <c r="D299" s="389" t="s">
        <v>248</v>
      </c>
      <c r="E299" s="398" t="s">
        <v>757</v>
      </c>
      <c r="F299" s="404">
        <v>150.75</v>
      </c>
      <c r="G299" s="397" t="s">
        <v>1816</v>
      </c>
      <c r="H299" s="389" t="s">
        <v>736</v>
      </c>
      <c r="I299" s="398" t="s">
        <v>635</v>
      </c>
      <c r="J299" s="399" t="s">
        <v>636</v>
      </c>
      <c r="K299" s="390" t="str">
        <f t="shared" si="14"/>
        <v>XXX153830001XX</v>
      </c>
      <c r="L299" s="391" t="s">
        <v>1996</v>
      </c>
      <c r="M299" s="398" t="s">
        <v>712</v>
      </c>
      <c r="N299" s="399">
        <v>2</v>
      </c>
      <c r="O299" s="399" t="s">
        <v>905</v>
      </c>
      <c r="P299" s="398" t="s">
        <v>574</v>
      </c>
    </row>
    <row r="300" spans="1:16" s="401" customFormat="1" ht="72">
      <c r="A300" s="452">
        <f t="shared" si="12"/>
        <v>297</v>
      </c>
      <c r="B300" s="387">
        <v>46062</v>
      </c>
      <c r="C300" s="388">
        <v>46024</v>
      </c>
      <c r="D300" s="389" t="s">
        <v>248</v>
      </c>
      <c r="E300" s="395" t="s">
        <v>78</v>
      </c>
      <c r="F300" s="404">
        <v>25.32</v>
      </c>
      <c r="G300" s="397" t="s">
        <v>1817</v>
      </c>
      <c r="H300" s="389" t="s">
        <v>1029</v>
      </c>
      <c r="I300" s="398" t="s">
        <v>635</v>
      </c>
      <c r="J300" s="399" t="s">
        <v>636</v>
      </c>
      <c r="K300" s="390" t="str">
        <f t="shared" si="14"/>
        <v>XXX153830001XX</v>
      </c>
      <c r="L300" s="391" t="s">
        <v>1996</v>
      </c>
      <c r="M300" s="398" t="s">
        <v>712</v>
      </c>
      <c r="N300" s="399">
        <v>262</v>
      </c>
      <c r="O300" s="399" t="s">
        <v>886</v>
      </c>
      <c r="P300" s="398" t="s">
        <v>574</v>
      </c>
    </row>
    <row r="301" spans="1:16" s="401" customFormat="1" ht="36">
      <c r="A301" s="452">
        <f t="shared" si="12"/>
        <v>298</v>
      </c>
      <c r="B301" s="387">
        <v>46062</v>
      </c>
      <c r="C301" s="388">
        <v>46024</v>
      </c>
      <c r="D301" s="389" t="s">
        <v>248</v>
      </c>
      <c r="E301" s="398" t="s">
        <v>599</v>
      </c>
      <c r="F301" s="404">
        <v>30.17</v>
      </c>
      <c r="G301" s="397" t="s">
        <v>1818</v>
      </c>
      <c r="H301" s="389" t="s">
        <v>736</v>
      </c>
      <c r="I301" s="398" t="s">
        <v>635</v>
      </c>
      <c r="J301" s="399" t="s">
        <v>636</v>
      </c>
      <c r="K301" s="390" t="str">
        <f t="shared" si="14"/>
        <v>XXX153830001XX</v>
      </c>
      <c r="L301" s="391" t="s">
        <v>1996</v>
      </c>
      <c r="M301" s="398" t="s">
        <v>712</v>
      </c>
      <c r="N301" s="399">
        <v>37</v>
      </c>
      <c r="O301" s="399" t="s">
        <v>899</v>
      </c>
      <c r="P301" s="398" t="s">
        <v>574</v>
      </c>
    </row>
    <row r="302" spans="1:16" s="401" customFormat="1" ht="36">
      <c r="A302" s="452">
        <f t="shared" si="12"/>
        <v>299</v>
      </c>
      <c r="B302" s="387">
        <v>46062</v>
      </c>
      <c r="C302" s="388">
        <v>46024</v>
      </c>
      <c r="D302" s="389" t="s">
        <v>248</v>
      </c>
      <c r="E302" s="398" t="s">
        <v>592</v>
      </c>
      <c r="F302" s="404">
        <v>3.58</v>
      </c>
      <c r="G302" s="397" t="s">
        <v>1819</v>
      </c>
      <c r="H302" s="389" t="s">
        <v>737</v>
      </c>
      <c r="I302" s="398" t="s">
        <v>635</v>
      </c>
      <c r="J302" s="399" t="s">
        <v>636</v>
      </c>
      <c r="K302" s="390" t="str">
        <f t="shared" si="14"/>
        <v>XXX153830001XX</v>
      </c>
      <c r="L302" s="391" t="s">
        <v>1996</v>
      </c>
      <c r="M302" s="398" t="s">
        <v>712</v>
      </c>
      <c r="N302" s="399">
        <v>131</v>
      </c>
      <c r="O302" s="399" t="s">
        <v>898</v>
      </c>
      <c r="P302" s="398" t="s">
        <v>574</v>
      </c>
    </row>
    <row r="303" spans="1:16" s="401" customFormat="1" ht="36">
      <c r="A303" s="452">
        <f t="shared" si="12"/>
        <v>300</v>
      </c>
      <c r="B303" s="387">
        <v>46062</v>
      </c>
      <c r="C303" s="388">
        <v>46024</v>
      </c>
      <c r="D303" s="389" t="s">
        <v>248</v>
      </c>
      <c r="E303" s="398" t="s">
        <v>599</v>
      </c>
      <c r="F303" s="404">
        <v>6.52</v>
      </c>
      <c r="G303" s="397" t="s">
        <v>1818</v>
      </c>
      <c r="H303" s="389" t="s">
        <v>736</v>
      </c>
      <c r="I303" s="398" t="s">
        <v>635</v>
      </c>
      <c r="J303" s="399" t="s">
        <v>636</v>
      </c>
      <c r="K303" s="390" t="str">
        <f t="shared" si="14"/>
        <v>XXX153830001XX</v>
      </c>
      <c r="L303" s="391" t="s">
        <v>1996</v>
      </c>
      <c r="M303" s="398" t="s">
        <v>712</v>
      </c>
      <c r="N303" s="399">
        <v>38</v>
      </c>
      <c r="O303" s="399" t="s">
        <v>899</v>
      </c>
      <c r="P303" s="398" t="s">
        <v>574</v>
      </c>
    </row>
    <row r="304" spans="1:16" s="401" customFormat="1" ht="48">
      <c r="A304" s="452">
        <f t="shared" si="12"/>
        <v>301</v>
      </c>
      <c r="B304" s="387">
        <v>46062</v>
      </c>
      <c r="C304" s="388">
        <v>46024</v>
      </c>
      <c r="D304" s="389" t="s">
        <v>248</v>
      </c>
      <c r="E304" s="398" t="s">
        <v>591</v>
      </c>
      <c r="F304" s="404">
        <v>12.06</v>
      </c>
      <c r="G304" s="397" t="s">
        <v>1820</v>
      </c>
      <c r="H304" s="389" t="s">
        <v>736</v>
      </c>
      <c r="I304" s="398" t="s">
        <v>635</v>
      </c>
      <c r="J304" s="399" t="s">
        <v>636</v>
      </c>
      <c r="K304" s="390" t="str">
        <f t="shared" si="14"/>
        <v>XXX153830001XX</v>
      </c>
      <c r="L304" s="391" t="s">
        <v>1996</v>
      </c>
      <c r="M304" s="398" t="s">
        <v>712</v>
      </c>
      <c r="N304" s="399">
        <v>66</v>
      </c>
      <c r="O304" s="399" t="s">
        <v>902</v>
      </c>
      <c r="P304" s="398" t="s">
        <v>574</v>
      </c>
    </row>
    <row r="305" spans="1:16" s="401" customFormat="1" ht="36">
      <c r="A305" s="452">
        <f t="shared" si="12"/>
        <v>302</v>
      </c>
      <c r="B305" s="387">
        <v>46062</v>
      </c>
      <c r="C305" s="388">
        <v>46024</v>
      </c>
      <c r="D305" s="389" t="s">
        <v>248</v>
      </c>
      <c r="E305" s="398" t="s">
        <v>601</v>
      </c>
      <c r="F305" s="404">
        <v>350</v>
      </c>
      <c r="G305" s="397" t="s">
        <v>1821</v>
      </c>
      <c r="H305" s="389" t="s">
        <v>278</v>
      </c>
      <c r="I305" s="398" t="s">
        <v>635</v>
      </c>
      <c r="J305" s="399" t="s">
        <v>636</v>
      </c>
      <c r="K305" s="390" t="str">
        <f t="shared" si="14"/>
        <v>XXX153830001XX</v>
      </c>
      <c r="L305" s="391" t="s">
        <v>1996</v>
      </c>
      <c r="M305" s="398" t="s">
        <v>712</v>
      </c>
      <c r="N305" s="399">
        <v>7</v>
      </c>
      <c r="O305" s="399" t="s">
        <v>902</v>
      </c>
      <c r="P305" s="398" t="s">
        <v>574</v>
      </c>
    </row>
    <row r="306" spans="1:16" s="401" customFormat="1" ht="60">
      <c r="A306" s="452">
        <f t="shared" si="12"/>
        <v>303</v>
      </c>
      <c r="B306" s="387">
        <v>46062</v>
      </c>
      <c r="C306" s="388">
        <v>45993</v>
      </c>
      <c r="D306" s="389" t="s">
        <v>248</v>
      </c>
      <c r="E306" s="398" t="s">
        <v>582</v>
      </c>
      <c r="F306" s="404">
        <v>631.73</v>
      </c>
      <c r="G306" s="397" t="s">
        <v>786</v>
      </c>
      <c r="H306" s="389" t="s">
        <v>737</v>
      </c>
      <c r="I306" s="398" t="s">
        <v>614</v>
      </c>
      <c r="J306" s="399" t="s">
        <v>615</v>
      </c>
      <c r="K306" s="390" t="str">
        <f t="shared" si="14"/>
        <v>XXX470160001XX</v>
      </c>
      <c r="L306" s="391" t="s">
        <v>1996</v>
      </c>
      <c r="M306" s="398" t="s">
        <v>704</v>
      </c>
      <c r="N306" s="399">
        <v>3908</v>
      </c>
      <c r="O306" s="399" t="s">
        <v>857</v>
      </c>
      <c r="P306" s="398" t="s">
        <v>574</v>
      </c>
    </row>
    <row r="307" spans="1:16" s="401" customFormat="1" ht="48">
      <c r="A307" s="452">
        <f t="shared" si="12"/>
        <v>304</v>
      </c>
      <c r="B307" s="387">
        <v>46062</v>
      </c>
      <c r="C307" s="388">
        <v>46024</v>
      </c>
      <c r="D307" s="389" t="s">
        <v>248</v>
      </c>
      <c r="E307" s="395" t="s">
        <v>78</v>
      </c>
      <c r="F307" s="404">
        <v>66</v>
      </c>
      <c r="G307" s="397" t="s">
        <v>1822</v>
      </c>
      <c r="H307" s="389" t="s">
        <v>278</v>
      </c>
      <c r="I307" s="398" t="s">
        <v>635</v>
      </c>
      <c r="J307" s="399" t="s">
        <v>636</v>
      </c>
      <c r="K307" s="390" t="str">
        <f t="shared" si="14"/>
        <v>XXX153830001XX</v>
      </c>
      <c r="L307" s="391" t="s">
        <v>1996</v>
      </c>
      <c r="M307" s="398" t="s">
        <v>712</v>
      </c>
      <c r="N307" s="399">
        <v>11</v>
      </c>
      <c r="O307" s="399" t="s">
        <v>907</v>
      </c>
      <c r="P307" s="398" t="s">
        <v>574</v>
      </c>
    </row>
    <row r="308" spans="1:16" s="401" customFormat="1" ht="36">
      <c r="A308" s="452">
        <f t="shared" si="12"/>
        <v>305</v>
      </c>
      <c r="B308" s="387">
        <v>46062</v>
      </c>
      <c r="C308" s="388">
        <v>46024</v>
      </c>
      <c r="D308" s="389" t="s">
        <v>166</v>
      </c>
      <c r="E308" s="398" t="s">
        <v>581</v>
      </c>
      <c r="F308" s="404">
        <v>20.94</v>
      </c>
      <c r="G308" s="397" t="s">
        <v>1823</v>
      </c>
      <c r="H308" s="389" t="s">
        <v>166</v>
      </c>
      <c r="I308" s="398" t="s">
        <v>635</v>
      </c>
      <c r="J308" s="399" t="s">
        <v>636</v>
      </c>
      <c r="K308" s="390" t="str">
        <f t="shared" si="14"/>
        <v>XXX153830001XX</v>
      </c>
      <c r="L308" s="391" t="s">
        <v>1996</v>
      </c>
      <c r="M308" s="398" t="s">
        <v>712</v>
      </c>
      <c r="N308" s="399">
        <v>3687</v>
      </c>
      <c r="O308" s="399" t="s">
        <v>907</v>
      </c>
      <c r="P308" s="398" t="s">
        <v>574</v>
      </c>
    </row>
    <row r="309" spans="1:16" s="401" customFormat="1" ht="36">
      <c r="A309" s="452">
        <f t="shared" si="12"/>
        <v>306</v>
      </c>
      <c r="B309" s="387">
        <v>46062</v>
      </c>
      <c r="C309" s="388">
        <v>46024</v>
      </c>
      <c r="D309" s="389" t="s">
        <v>166</v>
      </c>
      <c r="E309" s="398" t="s">
        <v>581</v>
      </c>
      <c r="F309" s="404">
        <v>14.94</v>
      </c>
      <c r="G309" s="397" t="s">
        <v>1823</v>
      </c>
      <c r="H309" s="389" t="s">
        <v>166</v>
      </c>
      <c r="I309" s="398" t="s">
        <v>635</v>
      </c>
      <c r="J309" s="399" t="s">
        <v>636</v>
      </c>
      <c r="K309" s="390" t="str">
        <f t="shared" si="14"/>
        <v>XXX153830001XX</v>
      </c>
      <c r="L309" s="391" t="s">
        <v>1996</v>
      </c>
      <c r="M309" s="398" t="s">
        <v>712</v>
      </c>
      <c r="N309" s="399">
        <v>3695</v>
      </c>
      <c r="O309" s="399" t="s">
        <v>907</v>
      </c>
      <c r="P309" s="398" t="s">
        <v>574</v>
      </c>
    </row>
    <row r="310" spans="1:16" s="401" customFormat="1" ht="48">
      <c r="A310" s="452">
        <f t="shared" si="12"/>
        <v>307</v>
      </c>
      <c r="B310" s="387">
        <v>46062</v>
      </c>
      <c r="C310" s="388">
        <v>46024</v>
      </c>
      <c r="D310" s="389" t="s">
        <v>248</v>
      </c>
      <c r="E310" s="398" t="s">
        <v>592</v>
      </c>
      <c r="F310" s="404">
        <v>60.08</v>
      </c>
      <c r="G310" s="397" t="s">
        <v>1824</v>
      </c>
      <c r="H310" s="389" t="s">
        <v>737</v>
      </c>
      <c r="I310" s="398" t="s">
        <v>635</v>
      </c>
      <c r="J310" s="399" t="s">
        <v>636</v>
      </c>
      <c r="K310" s="390" t="str">
        <f t="shared" si="14"/>
        <v>XXX153830001XX</v>
      </c>
      <c r="L310" s="391" t="s">
        <v>1996</v>
      </c>
      <c r="M310" s="398" t="s">
        <v>712</v>
      </c>
      <c r="N310" s="399">
        <v>384</v>
      </c>
      <c r="O310" s="399" t="s">
        <v>1183</v>
      </c>
      <c r="P310" s="398" t="s">
        <v>574</v>
      </c>
    </row>
    <row r="311" spans="1:16" s="401" customFormat="1" ht="36">
      <c r="A311" s="452">
        <f t="shared" si="12"/>
        <v>308</v>
      </c>
      <c r="B311" s="387">
        <v>46062</v>
      </c>
      <c r="C311" s="388">
        <v>46024</v>
      </c>
      <c r="D311" s="389" t="s">
        <v>166</v>
      </c>
      <c r="E311" s="398" t="s">
        <v>603</v>
      </c>
      <c r="F311" s="404">
        <v>83.19</v>
      </c>
      <c r="G311" s="397" t="s">
        <v>1825</v>
      </c>
      <c r="H311" s="389" t="s">
        <v>166</v>
      </c>
      <c r="I311" s="398" t="s">
        <v>635</v>
      </c>
      <c r="J311" s="399" t="s">
        <v>636</v>
      </c>
      <c r="K311" s="390" t="str">
        <f t="shared" si="14"/>
        <v>XXX153830001XX</v>
      </c>
      <c r="L311" s="391" t="s">
        <v>1996</v>
      </c>
      <c r="M311" s="398" t="s">
        <v>712</v>
      </c>
      <c r="N311" s="399">
        <v>202629899</v>
      </c>
      <c r="O311" s="399" t="s">
        <v>887</v>
      </c>
      <c r="P311" s="398" t="s">
        <v>572</v>
      </c>
    </row>
    <row r="312" spans="1:16" s="401" customFormat="1" ht="36">
      <c r="A312" s="452">
        <f t="shared" si="12"/>
        <v>309</v>
      </c>
      <c r="B312" s="387">
        <v>46062</v>
      </c>
      <c r="C312" s="388">
        <v>46024</v>
      </c>
      <c r="D312" s="389" t="s">
        <v>166</v>
      </c>
      <c r="E312" s="398" t="s">
        <v>603</v>
      </c>
      <c r="F312" s="404">
        <v>1043.97</v>
      </c>
      <c r="G312" s="397" t="s">
        <v>1825</v>
      </c>
      <c r="H312" s="389" t="s">
        <v>166</v>
      </c>
      <c r="I312" s="398" t="s">
        <v>635</v>
      </c>
      <c r="J312" s="399" t="s">
        <v>636</v>
      </c>
      <c r="K312" s="390" t="str">
        <f t="shared" si="14"/>
        <v>XXX153830001XX</v>
      </c>
      <c r="L312" s="391" t="s">
        <v>1996</v>
      </c>
      <c r="M312" s="398" t="s">
        <v>712</v>
      </c>
      <c r="N312" s="399">
        <v>202677489</v>
      </c>
      <c r="O312" s="399" t="s">
        <v>899</v>
      </c>
      <c r="P312" s="398" t="s">
        <v>572</v>
      </c>
    </row>
    <row r="313" spans="1:16" s="401" customFormat="1" ht="96">
      <c r="A313" s="452">
        <f t="shared" si="12"/>
        <v>310</v>
      </c>
      <c r="B313" s="387">
        <v>46062</v>
      </c>
      <c r="C313" s="388">
        <v>46024</v>
      </c>
      <c r="D313" s="389" t="s">
        <v>248</v>
      </c>
      <c r="E313" s="398" t="s">
        <v>598</v>
      </c>
      <c r="F313" s="404">
        <v>61.8</v>
      </c>
      <c r="G313" s="397" t="s">
        <v>1826</v>
      </c>
      <c r="H313" s="389" t="s">
        <v>736</v>
      </c>
      <c r="I313" s="398" t="s">
        <v>635</v>
      </c>
      <c r="J313" s="399" t="s">
        <v>636</v>
      </c>
      <c r="K313" s="390" t="str">
        <f t="shared" si="14"/>
        <v>XXX153830001XX</v>
      </c>
      <c r="L313" s="391" t="s">
        <v>1996</v>
      </c>
      <c r="M313" s="398" t="s">
        <v>712</v>
      </c>
      <c r="N313" s="399">
        <v>9</v>
      </c>
      <c r="O313" s="399" t="s">
        <v>910</v>
      </c>
      <c r="P313" s="398" t="s">
        <v>574</v>
      </c>
    </row>
    <row r="314" spans="1:16" s="401" customFormat="1" ht="36">
      <c r="A314" s="452">
        <f t="shared" si="12"/>
        <v>311</v>
      </c>
      <c r="B314" s="387">
        <v>46062</v>
      </c>
      <c r="C314" s="388">
        <v>46024</v>
      </c>
      <c r="D314" s="389" t="s">
        <v>248</v>
      </c>
      <c r="E314" s="398" t="s">
        <v>758</v>
      </c>
      <c r="F314" s="404">
        <v>4834.45</v>
      </c>
      <c r="G314" s="397" t="s">
        <v>1827</v>
      </c>
      <c r="H314" s="389" t="s">
        <v>738</v>
      </c>
      <c r="I314" s="398" t="s">
        <v>635</v>
      </c>
      <c r="J314" s="399" t="s">
        <v>636</v>
      </c>
      <c r="K314" s="390" t="str">
        <f t="shared" si="14"/>
        <v>XXX153830001XX</v>
      </c>
      <c r="L314" s="391" t="s">
        <v>1996</v>
      </c>
      <c r="M314" s="398" t="s">
        <v>712</v>
      </c>
      <c r="N314" s="399">
        <v>93</v>
      </c>
      <c r="O314" s="399" t="s">
        <v>899</v>
      </c>
      <c r="P314" s="398" t="s">
        <v>574</v>
      </c>
    </row>
    <row r="315" spans="1:16" s="401" customFormat="1" ht="36">
      <c r="A315" s="452">
        <f t="shared" si="12"/>
        <v>312</v>
      </c>
      <c r="B315" s="387">
        <v>46062</v>
      </c>
      <c r="C315" s="388">
        <v>46024</v>
      </c>
      <c r="D315" s="389" t="s">
        <v>166</v>
      </c>
      <c r="E315" s="398" t="s">
        <v>584</v>
      </c>
      <c r="F315" s="404">
        <v>0.73</v>
      </c>
      <c r="G315" s="397" t="s">
        <v>1828</v>
      </c>
      <c r="H315" s="389" t="s">
        <v>166</v>
      </c>
      <c r="I315" s="398" t="s">
        <v>635</v>
      </c>
      <c r="J315" s="399" t="s">
        <v>636</v>
      </c>
      <c r="K315" s="390" t="str">
        <f t="shared" si="14"/>
        <v>XXX153830001XX</v>
      </c>
      <c r="L315" s="391" t="s">
        <v>1996</v>
      </c>
      <c r="M315" s="398" t="s">
        <v>712</v>
      </c>
      <c r="N315" s="399">
        <v>48916</v>
      </c>
      <c r="O315" s="399" t="s">
        <v>912</v>
      </c>
      <c r="P315" s="398" t="s">
        <v>572</v>
      </c>
    </row>
    <row r="316" spans="1:16" s="401" customFormat="1" ht="36">
      <c r="A316" s="452">
        <f t="shared" si="12"/>
        <v>313</v>
      </c>
      <c r="B316" s="387">
        <v>46062</v>
      </c>
      <c r="C316" s="388">
        <v>46024</v>
      </c>
      <c r="D316" s="389" t="s">
        <v>166</v>
      </c>
      <c r="E316" s="398" t="s">
        <v>584</v>
      </c>
      <c r="F316" s="404">
        <v>1.55</v>
      </c>
      <c r="G316" s="397" t="s">
        <v>1829</v>
      </c>
      <c r="H316" s="389" t="s">
        <v>166</v>
      </c>
      <c r="I316" s="398" t="s">
        <v>635</v>
      </c>
      <c r="J316" s="399" t="s">
        <v>636</v>
      </c>
      <c r="K316" s="390" t="str">
        <f t="shared" si="14"/>
        <v>XXX153830001XX</v>
      </c>
      <c r="L316" s="391" t="s">
        <v>1996</v>
      </c>
      <c r="M316" s="398" t="s">
        <v>712</v>
      </c>
      <c r="N316" s="399">
        <v>55363</v>
      </c>
      <c r="O316" s="399" t="s">
        <v>912</v>
      </c>
      <c r="P316" s="398" t="s">
        <v>572</v>
      </c>
    </row>
    <row r="317" spans="1:16" s="401" customFormat="1" ht="108">
      <c r="A317" s="452">
        <f t="shared" si="12"/>
        <v>314</v>
      </c>
      <c r="B317" s="387">
        <v>46062</v>
      </c>
      <c r="C317" s="388">
        <v>45993</v>
      </c>
      <c r="D317" s="389" t="s">
        <v>248</v>
      </c>
      <c r="E317" s="393" t="s">
        <v>164</v>
      </c>
      <c r="F317" s="404">
        <v>19.899999999999999</v>
      </c>
      <c r="G317" s="397" t="s">
        <v>1252</v>
      </c>
      <c r="H317" s="389" t="s">
        <v>278</v>
      </c>
      <c r="I317" s="398" t="s">
        <v>616</v>
      </c>
      <c r="J317" s="399" t="s">
        <v>617</v>
      </c>
      <c r="K317" s="390" t="str">
        <f t="shared" si="14"/>
        <v>XXX239040003XX</v>
      </c>
      <c r="L317" s="391" t="s">
        <v>1996</v>
      </c>
      <c r="M317" s="398" t="s">
        <v>704</v>
      </c>
      <c r="N317" s="399">
        <v>36844</v>
      </c>
      <c r="O317" s="399" t="s">
        <v>897</v>
      </c>
      <c r="P317" s="398" t="s">
        <v>574</v>
      </c>
    </row>
    <row r="318" spans="1:16" s="401" customFormat="1" ht="36">
      <c r="A318" s="452">
        <f t="shared" si="12"/>
        <v>315</v>
      </c>
      <c r="B318" s="387">
        <v>46062</v>
      </c>
      <c r="C318" s="388">
        <v>46024</v>
      </c>
      <c r="D318" s="389" t="s">
        <v>248</v>
      </c>
      <c r="E318" s="395" t="s">
        <v>477</v>
      </c>
      <c r="F318" s="404">
        <v>198.2</v>
      </c>
      <c r="G318" s="397" t="s">
        <v>1830</v>
      </c>
      <c r="H318" s="389" t="s">
        <v>738</v>
      </c>
      <c r="I318" s="398" t="s">
        <v>635</v>
      </c>
      <c r="J318" s="399" t="s">
        <v>636</v>
      </c>
      <c r="K318" s="390" t="str">
        <f t="shared" si="14"/>
        <v>XXX153830001XX</v>
      </c>
      <c r="L318" s="391" t="s">
        <v>1996</v>
      </c>
      <c r="M318" s="398" t="s">
        <v>712</v>
      </c>
      <c r="N318" s="399">
        <v>233</v>
      </c>
      <c r="O318" s="399" t="s">
        <v>904</v>
      </c>
      <c r="P318" s="398" t="s">
        <v>868</v>
      </c>
    </row>
    <row r="319" spans="1:16" s="401" customFormat="1" ht="36">
      <c r="A319" s="452">
        <f t="shared" si="12"/>
        <v>316</v>
      </c>
      <c r="B319" s="387">
        <v>46062</v>
      </c>
      <c r="C319" s="388">
        <v>46024</v>
      </c>
      <c r="D319" s="389" t="s">
        <v>248</v>
      </c>
      <c r="E319" s="398" t="s">
        <v>588</v>
      </c>
      <c r="F319" s="404">
        <v>2478.36</v>
      </c>
      <c r="G319" s="397" t="s">
        <v>1253</v>
      </c>
      <c r="H319" s="389" t="s">
        <v>278</v>
      </c>
      <c r="I319" s="398" t="s">
        <v>630</v>
      </c>
      <c r="J319" s="399" t="s">
        <v>631</v>
      </c>
      <c r="K319" s="390" t="str">
        <f t="shared" si="14"/>
        <v>XXX956460001XX</v>
      </c>
      <c r="L319" s="391" t="s">
        <v>1996</v>
      </c>
      <c r="M319" s="398" t="s">
        <v>704</v>
      </c>
      <c r="N319" s="399">
        <v>150</v>
      </c>
      <c r="O319" s="399" t="s">
        <v>894</v>
      </c>
      <c r="P319" s="398" t="s">
        <v>574</v>
      </c>
    </row>
    <row r="320" spans="1:16" s="401" customFormat="1" ht="60">
      <c r="A320" s="452">
        <f t="shared" si="12"/>
        <v>317</v>
      </c>
      <c r="B320" s="387">
        <v>46062</v>
      </c>
      <c r="C320" s="388">
        <v>46024</v>
      </c>
      <c r="D320" s="389" t="s">
        <v>248</v>
      </c>
      <c r="E320" s="398" t="s">
        <v>582</v>
      </c>
      <c r="F320" s="404">
        <v>55.9</v>
      </c>
      <c r="G320" s="397" t="s">
        <v>1254</v>
      </c>
      <c r="H320" s="389" t="s">
        <v>737</v>
      </c>
      <c r="I320" s="398" t="s">
        <v>624</v>
      </c>
      <c r="J320" s="399" t="s">
        <v>625</v>
      </c>
      <c r="K320" s="390" t="str">
        <f t="shared" si="14"/>
        <v>XXX924510001XX</v>
      </c>
      <c r="L320" s="391" t="s">
        <v>1996</v>
      </c>
      <c r="M320" s="398" t="s">
        <v>709</v>
      </c>
      <c r="N320" s="399">
        <v>48275</v>
      </c>
      <c r="O320" s="399" t="s">
        <v>894</v>
      </c>
      <c r="P320" s="398" t="s">
        <v>574</v>
      </c>
    </row>
    <row r="321" spans="1:16" s="401" customFormat="1" ht="60">
      <c r="A321" s="452">
        <f t="shared" si="12"/>
        <v>318</v>
      </c>
      <c r="B321" s="387">
        <v>46062</v>
      </c>
      <c r="C321" s="388">
        <v>46024</v>
      </c>
      <c r="D321" s="389" t="s">
        <v>248</v>
      </c>
      <c r="E321" s="398" t="s">
        <v>582</v>
      </c>
      <c r="F321" s="404">
        <v>1596</v>
      </c>
      <c r="G321" s="397" t="s">
        <v>1254</v>
      </c>
      <c r="H321" s="389" t="s">
        <v>737</v>
      </c>
      <c r="I321" s="398" t="s">
        <v>1063</v>
      </c>
      <c r="J321" s="399" t="s">
        <v>773</v>
      </c>
      <c r="K321" s="390" t="str">
        <f t="shared" si="14"/>
        <v>XXX000000000XX</v>
      </c>
      <c r="L321" s="391" t="s">
        <v>1996</v>
      </c>
      <c r="M321" s="398" t="s">
        <v>704</v>
      </c>
      <c r="N321" s="399">
        <v>48275</v>
      </c>
      <c r="O321" s="399" t="s">
        <v>894</v>
      </c>
      <c r="P321" s="398" t="s">
        <v>574</v>
      </c>
    </row>
    <row r="322" spans="1:16" s="401" customFormat="1" ht="60">
      <c r="A322" s="452">
        <f t="shared" si="12"/>
        <v>319</v>
      </c>
      <c r="B322" s="387">
        <v>46062</v>
      </c>
      <c r="C322" s="388">
        <v>46024</v>
      </c>
      <c r="D322" s="389" t="s">
        <v>248</v>
      </c>
      <c r="E322" s="398" t="s">
        <v>582</v>
      </c>
      <c r="F322" s="404">
        <v>55.9</v>
      </c>
      <c r="G322" s="397" t="s">
        <v>1254</v>
      </c>
      <c r="H322" s="389" t="s">
        <v>737</v>
      </c>
      <c r="I322" s="398" t="s">
        <v>624</v>
      </c>
      <c r="J322" s="399" t="s">
        <v>625</v>
      </c>
      <c r="K322" s="390" t="str">
        <f t="shared" si="14"/>
        <v>XXX924510001XX</v>
      </c>
      <c r="L322" s="391" t="s">
        <v>1996</v>
      </c>
      <c r="M322" s="398" t="s">
        <v>709</v>
      </c>
      <c r="N322" s="399">
        <v>48274</v>
      </c>
      <c r="O322" s="399" t="s">
        <v>894</v>
      </c>
      <c r="P322" s="398" t="s">
        <v>574</v>
      </c>
    </row>
    <row r="323" spans="1:16" s="401" customFormat="1" ht="60">
      <c r="A323" s="452">
        <f t="shared" si="12"/>
        <v>320</v>
      </c>
      <c r="B323" s="387">
        <v>46062</v>
      </c>
      <c r="C323" s="388">
        <v>46024</v>
      </c>
      <c r="D323" s="389" t="s">
        <v>248</v>
      </c>
      <c r="E323" s="398" t="s">
        <v>582</v>
      </c>
      <c r="F323" s="404">
        <v>1596</v>
      </c>
      <c r="G323" s="397" t="s">
        <v>1254</v>
      </c>
      <c r="H323" s="389" t="s">
        <v>737</v>
      </c>
      <c r="I323" s="398" t="s">
        <v>1063</v>
      </c>
      <c r="J323" s="399" t="s">
        <v>773</v>
      </c>
      <c r="K323" s="399" t="s">
        <v>280</v>
      </c>
      <c r="L323" s="391" t="s">
        <v>1996</v>
      </c>
      <c r="M323" s="398" t="s">
        <v>704</v>
      </c>
      <c r="N323" s="399">
        <v>48274</v>
      </c>
      <c r="O323" s="399" t="s">
        <v>894</v>
      </c>
      <c r="P323" s="398" t="s">
        <v>574</v>
      </c>
    </row>
    <row r="324" spans="1:16" s="401" customFormat="1" ht="48">
      <c r="A324" s="452">
        <f t="shared" ref="A324:A387" si="15">IF(B324="","",ROW()-ROW($A$3))</f>
        <v>321</v>
      </c>
      <c r="B324" s="387">
        <v>46062</v>
      </c>
      <c r="C324" s="388">
        <v>46024</v>
      </c>
      <c r="D324" s="389" t="s">
        <v>248</v>
      </c>
      <c r="E324" s="393" t="s">
        <v>169</v>
      </c>
      <c r="F324" s="404">
        <v>150.84</v>
      </c>
      <c r="G324" s="397" t="s">
        <v>1255</v>
      </c>
      <c r="H324" s="389" t="s">
        <v>736</v>
      </c>
      <c r="I324" s="398" t="s">
        <v>624</v>
      </c>
      <c r="J324" s="399" t="s">
        <v>625</v>
      </c>
      <c r="K324" s="390" t="str">
        <f t="shared" si="14"/>
        <v>XXX924510001XX</v>
      </c>
      <c r="L324" s="391" t="s">
        <v>1996</v>
      </c>
      <c r="M324" s="398" t="s">
        <v>709</v>
      </c>
      <c r="N324" s="399">
        <v>17275885</v>
      </c>
      <c r="O324" s="399" t="s">
        <v>894</v>
      </c>
      <c r="P324" s="398" t="s">
        <v>574</v>
      </c>
    </row>
    <row r="325" spans="1:16" s="401" customFormat="1" ht="48">
      <c r="A325" s="452">
        <f t="shared" si="15"/>
        <v>322</v>
      </c>
      <c r="B325" s="387">
        <v>46062</v>
      </c>
      <c r="C325" s="388">
        <v>46024</v>
      </c>
      <c r="D325" s="389" t="s">
        <v>248</v>
      </c>
      <c r="E325" s="393" t="s">
        <v>169</v>
      </c>
      <c r="F325" s="404">
        <v>4309.49</v>
      </c>
      <c r="G325" s="397" t="s">
        <v>1255</v>
      </c>
      <c r="H325" s="389" t="s">
        <v>736</v>
      </c>
      <c r="I325" s="398" t="s">
        <v>1064</v>
      </c>
      <c r="J325" s="399" t="s">
        <v>773</v>
      </c>
      <c r="K325" s="390" t="str">
        <f t="shared" si="14"/>
        <v>XXX000000000XX</v>
      </c>
      <c r="L325" s="391" t="s">
        <v>1996</v>
      </c>
      <c r="M325" s="398" t="s">
        <v>704</v>
      </c>
      <c r="N325" s="399">
        <v>17275885</v>
      </c>
      <c r="O325" s="399" t="s">
        <v>894</v>
      </c>
      <c r="P325" s="398" t="s">
        <v>574</v>
      </c>
    </row>
    <row r="326" spans="1:16" s="401" customFormat="1" ht="84">
      <c r="A326" s="452">
        <f t="shared" si="15"/>
        <v>323</v>
      </c>
      <c r="B326" s="387">
        <v>46062</v>
      </c>
      <c r="C326" s="388">
        <v>46024</v>
      </c>
      <c r="D326" s="389" t="s">
        <v>248</v>
      </c>
      <c r="E326" s="393" t="s">
        <v>164</v>
      </c>
      <c r="F326" s="404">
        <v>41.48</v>
      </c>
      <c r="G326" s="397" t="s">
        <v>1256</v>
      </c>
      <c r="H326" s="389" t="s">
        <v>737</v>
      </c>
      <c r="I326" s="398" t="s">
        <v>624</v>
      </c>
      <c r="J326" s="399" t="s">
        <v>625</v>
      </c>
      <c r="K326" s="390" t="str">
        <f t="shared" si="14"/>
        <v>XXX924510001XX</v>
      </c>
      <c r="L326" s="391" t="s">
        <v>1996</v>
      </c>
      <c r="M326" s="398" t="s">
        <v>709</v>
      </c>
      <c r="N326" s="399">
        <v>600131</v>
      </c>
      <c r="O326" s="399" t="s">
        <v>907</v>
      </c>
      <c r="P326" s="398" t="s">
        <v>574</v>
      </c>
    </row>
    <row r="327" spans="1:16" s="401" customFormat="1" ht="84">
      <c r="A327" s="452">
        <f t="shared" si="15"/>
        <v>324</v>
      </c>
      <c r="B327" s="387">
        <v>46062</v>
      </c>
      <c r="C327" s="388">
        <v>46024</v>
      </c>
      <c r="D327" s="389" t="s">
        <v>248</v>
      </c>
      <c r="E327" s="393" t="s">
        <v>164</v>
      </c>
      <c r="F327" s="404">
        <v>1185.49</v>
      </c>
      <c r="G327" s="397" t="s">
        <v>1256</v>
      </c>
      <c r="H327" s="389" t="s">
        <v>737</v>
      </c>
      <c r="I327" s="398" t="s">
        <v>1065</v>
      </c>
      <c r="J327" s="399" t="s">
        <v>773</v>
      </c>
      <c r="K327" s="390" t="str">
        <f t="shared" si="14"/>
        <v>XXX000000000XX</v>
      </c>
      <c r="L327" s="391" t="s">
        <v>1996</v>
      </c>
      <c r="M327" s="398" t="s">
        <v>704</v>
      </c>
      <c r="N327" s="399">
        <v>600131</v>
      </c>
      <c r="O327" s="399" t="s">
        <v>907</v>
      </c>
      <c r="P327" s="398" t="s">
        <v>574</v>
      </c>
    </row>
    <row r="328" spans="1:16" s="401" customFormat="1" ht="48">
      <c r="A328" s="452">
        <f t="shared" si="15"/>
        <v>325</v>
      </c>
      <c r="B328" s="387">
        <v>46062</v>
      </c>
      <c r="C328" s="388">
        <v>46024</v>
      </c>
      <c r="D328" s="389" t="s">
        <v>248</v>
      </c>
      <c r="E328" s="393" t="s">
        <v>164</v>
      </c>
      <c r="F328" s="404">
        <v>19.73</v>
      </c>
      <c r="G328" s="397" t="s">
        <v>1257</v>
      </c>
      <c r="H328" s="389" t="s">
        <v>737</v>
      </c>
      <c r="I328" s="398" t="s">
        <v>624</v>
      </c>
      <c r="J328" s="399" t="s">
        <v>625</v>
      </c>
      <c r="K328" s="390" t="str">
        <f t="shared" si="14"/>
        <v>XXX924510001XX</v>
      </c>
      <c r="L328" s="391" t="s">
        <v>1996</v>
      </c>
      <c r="M328" s="398" t="s">
        <v>709</v>
      </c>
      <c r="N328" s="399">
        <v>5722642</v>
      </c>
      <c r="O328" s="399" t="s">
        <v>907</v>
      </c>
      <c r="P328" s="398" t="s">
        <v>574</v>
      </c>
    </row>
    <row r="329" spans="1:16" s="401" customFormat="1" ht="48">
      <c r="A329" s="452">
        <f t="shared" si="15"/>
        <v>326</v>
      </c>
      <c r="B329" s="387">
        <v>46062</v>
      </c>
      <c r="C329" s="388">
        <v>46024</v>
      </c>
      <c r="D329" s="389" t="s">
        <v>248</v>
      </c>
      <c r="E329" s="393" t="s">
        <v>164</v>
      </c>
      <c r="F329" s="404">
        <v>564.29999999999995</v>
      </c>
      <c r="G329" s="397" t="s">
        <v>1257</v>
      </c>
      <c r="H329" s="389" t="s">
        <v>737</v>
      </c>
      <c r="I329" s="398" t="s">
        <v>875</v>
      </c>
      <c r="J329" s="399" t="s">
        <v>773</v>
      </c>
      <c r="K329" s="390" t="str">
        <f t="shared" si="14"/>
        <v>XXX000000000XX</v>
      </c>
      <c r="L329" s="391" t="s">
        <v>1996</v>
      </c>
      <c r="M329" s="398" t="s">
        <v>704</v>
      </c>
      <c r="N329" s="399">
        <v>5722642</v>
      </c>
      <c r="O329" s="399" t="s">
        <v>907</v>
      </c>
      <c r="P329" s="398" t="s">
        <v>574</v>
      </c>
    </row>
    <row r="330" spans="1:16" s="401" customFormat="1" ht="36">
      <c r="A330" s="452">
        <f t="shared" si="15"/>
        <v>327</v>
      </c>
      <c r="B330" s="387">
        <v>46062</v>
      </c>
      <c r="C330" s="388">
        <v>46024</v>
      </c>
      <c r="D330" s="389" t="s">
        <v>248</v>
      </c>
      <c r="E330" s="395" t="s">
        <v>454</v>
      </c>
      <c r="F330" s="404">
        <v>1800</v>
      </c>
      <c r="G330" s="397" t="s">
        <v>1258</v>
      </c>
      <c r="H330" s="389" t="s">
        <v>1418</v>
      </c>
      <c r="I330" s="398" t="s">
        <v>1066</v>
      </c>
      <c r="J330" s="399" t="s">
        <v>1067</v>
      </c>
      <c r="K330" s="390" t="str">
        <f t="shared" si="14"/>
        <v>XXX45343606 XX</v>
      </c>
      <c r="L330" s="391" t="s">
        <v>1996</v>
      </c>
      <c r="M330" s="398" t="s">
        <v>708</v>
      </c>
      <c r="N330" s="399">
        <v>73957</v>
      </c>
      <c r="O330" s="399" t="s">
        <v>1184</v>
      </c>
      <c r="P330" s="398" t="s">
        <v>574</v>
      </c>
    </row>
    <row r="331" spans="1:16" s="401" customFormat="1" ht="36">
      <c r="A331" s="452">
        <f t="shared" si="15"/>
        <v>328</v>
      </c>
      <c r="B331" s="387">
        <v>46062</v>
      </c>
      <c r="C331" s="388">
        <v>46024</v>
      </c>
      <c r="D331" s="389" t="s">
        <v>248</v>
      </c>
      <c r="E331" s="395" t="s">
        <v>454</v>
      </c>
      <c r="F331" s="404">
        <v>1500</v>
      </c>
      <c r="G331" s="397" t="s">
        <v>1259</v>
      </c>
      <c r="H331" s="389" t="s">
        <v>1418</v>
      </c>
      <c r="I331" s="398" t="s">
        <v>1068</v>
      </c>
      <c r="J331" s="399" t="s">
        <v>1069</v>
      </c>
      <c r="K331" s="399" t="s">
        <v>280</v>
      </c>
      <c r="L331" s="391" t="s">
        <v>1996</v>
      </c>
      <c r="M331" s="398" t="s">
        <v>708</v>
      </c>
      <c r="N331" s="399">
        <v>73958</v>
      </c>
      <c r="O331" s="399" t="s">
        <v>1184</v>
      </c>
      <c r="P331" s="398" t="s">
        <v>574</v>
      </c>
    </row>
    <row r="332" spans="1:16" s="401" customFormat="1" ht="36">
      <c r="A332" s="452">
        <f t="shared" si="15"/>
        <v>329</v>
      </c>
      <c r="B332" s="387">
        <v>46062</v>
      </c>
      <c r="C332" s="388">
        <v>46024</v>
      </c>
      <c r="D332" s="389" t="s">
        <v>248</v>
      </c>
      <c r="E332" s="395" t="s">
        <v>454</v>
      </c>
      <c r="F332" s="404">
        <v>1500</v>
      </c>
      <c r="G332" s="397" t="s">
        <v>1259</v>
      </c>
      <c r="H332" s="389" t="s">
        <v>1418</v>
      </c>
      <c r="I332" s="398" t="s">
        <v>1070</v>
      </c>
      <c r="J332" s="399" t="s">
        <v>1071</v>
      </c>
      <c r="K332" s="390" t="str">
        <f t="shared" si="14"/>
        <v>XXX97947651 XX</v>
      </c>
      <c r="L332" s="391" t="s">
        <v>1996</v>
      </c>
      <c r="M332" s="398" t="s">
        <v>708</v>
      </c>
      <c r="N332" s="399">
        <v>73960</v>
      </c>
      <c r="O332" s="399" t="s">
        <v>1184</v>
      </c>
      <c r="P332" s="398" t="s">
        <v>574</v>
      </c>
    </row>
    <row r="333" spans="1:16" s="401" customFormat="1" ht="36">
      <c r="A333" s="452">
        <f t="shared" si="15"/>
        <v>330</v>
      </c>
      <c r="B333" s="387">
        <v>46062</v>
      </c>
      <c r="C333" s="388">
        <v>46024</v>
      </c>
      <c r="D333" s="389" t="s">
        <v>248</v>
      </c>
      <c r="E333" s="395" t="s">
        <v>454</v>
      </c>
      <c r="F333" s="404">
        <v>1800</v>
      </c>
      <c r="G333" s="397" t="s">
        <v>1259</v>
      </c>
      <c r="H333" s="389" t="s">
        <v>1418</v>
      </c>
      <c r="I333" s="398" t="s">
        <v>1072</v>
      </c>
      <c r="J333" s="399" t="s">
        <v>1073</v>
      </c>
      <c r="K333" s="399" t="s">
        <v>280</v>
      </c>
      <c r="L333" s="391" t="s">
        <v>1996</v>
      </c>
      <c r="M333" s="398" t="s">
        <v>708</v>
      </c>
      <c r="N333" s="399">
        <v>73962</v>
      </c>
      <c r="O333" s="399" t="s">
        <v>1184</v>
      </c>
      <c r="P333" s="398" t="s">
        <v>574</v>
      </c>
    </row>
    <row r="334" spans="1:16" s="401" customFormat="1" ht="36">
      <c r="A334" s="452">
        <f t="shared" si="15"/>
        <v>331</v>
      </c>
      <c r="B334" s="387">
        <v>46062</v>
      </c>
      <c r="C334" s="388">
        <v>46024</v>
      </c>
      <c r="D334" s="389" t="s">
        <v>248</v>
      </c>
      <c r="E334" s="395" t="s">
        <v>454</v>
      </c>
      <c r="F334" s="404">
        <v>1500</v>
      </c>
      <c r="G334" s="397" t="s">
        <v>1260</v>
      </c>
      <c r="H334" s="389" t="s">
        <v>1418</v>
      </c>
      <c r="I334" s="398" t="s">
        <v>1074</v>
      </c>
      <c r="J334" s="399" t="s">
        <v>1075</v>
      </c>
      <c r="K334" s="390" t="str">
        <f t="shared" si="14"/>
        <v>XXX63319604 XX</v>
      </c>
      <c r="L334" s="391" t="s">
        <v>1996</v>
      </c>
      <c r="M334" s="398" t="s">
        <v>708</v>
      </c>
      <c r="N334" s="399">
        <v>73963</v>
      </c>
      <c r="O334" s="399" t="s">
        <v>1184</v>
      </c>
      <c r="P334" s="398" t="s">
        <v>574</v>
      </c>
    </row>
    <row r="335" spans="1:16" s="401" customFormat="1" ht="36">
      <c r="A335" s="452">
        <f t="shared" si="15"/>
        <v>332</v>
      </c>
      <c r="B335" s="387">
        <v>46062</v>
      </c>
      <c r="C335" s="388">
        <v>46024</v>
      </c>
      <c r="D335" s="389" t="s">
        <v>248</v>
      </c>
      <c r="E335" s="395" t="s">
        <v>454</v>
      </c>
      <c r="F335" s="404">
        <v>1800</v>
      </c>
      <c r="G335" s="397" t="s">
        <v>1259</v>
      </c>
      <c r="H335" s="389" t="s">
        <v>1418</v>
      </c>
      <c r="I335" s="398" t="s">
        <v>1076</v>
      </c>
      <c r="J335" s="399" t="s">
        <v>1077</v>
      </c>
      <c r="K335" s="390" t="str">
        <f t="shared" ref="K335:K390" si="16">IF(J335="","",IF(LEN(J335)&gt;14,IF(ISBLANK(J335),"",J335),REPLACE(REPLACE(J335,1,3,"XXX"),13,2,"XX")))</f>
        <v>XXX84604639 XX</v>
      </c>
      <c r="L335" s="391" t="s">
        <v>1996</v>
      </c>
      <c r="M335" s="398" t="s">
        <v>708</v>
      </c>
      <c r="N335" s="399">
        <v>73964</v>
      </c>
      <c r="O335" s="399" t="s">
        <v>1184</v>
      </c>
      <c r="P335" s="398" t="s">
        <v>574</v>
      </c>
    </row>
    <row r="336" spans="1:16" s="401" customFormat="1" ht="36">
      <c r="A336" s="452">
        <f t="shared" si="15"/>
        <v>333</v>
      </c>
      <c r="B336" s="387">
        <v>46062</v>
      </c>
      <c r="C336" s="388">
        <v>46024</v>
      </c>
      <c r="D336" s="389" t="s">
        <v>248</v>
      </c>
      <c r="E336" s="395" t="s">
        <v>454</v>
      </c>
      <c r="F336" s="404">
        <v>1800</v>
      </c>
      <c r="G336" s="397" t="s">
        <v>1259</v>
      </c>
      <c r="H336" s="389" t="s">
        <v>1418</v>
      </c>
      <c r="I336" s="398" t="s">
        <v>1078</v>
      </c>
      <c r="J336" s="399" t="s">
        <v>1079</v>
      </c>
      <c r="K336" s="390" t="str">
        <f t="shared" si="16"/>
        <v>XXX28795216 XX</v>
      </c>
      <c r="L336" s="391" t="s">
        <v>1996</v>
      </c>
      <c r="M336" s="398" t="s">
        <v>708</v>
      </c>
      <c r="N336" s="399">
        <v>73965</v>
      </c>
      <c r="O336" s="399" t="s">
        <v>1184</v>
      </c>
      <c r="P336" s="398" t="s">
        <v>574</v>
      </c>
    </row>
    <row r="337" spans="1:16" s="401" customFormat="1" ht="36">
      <c r="A337" s="452">
        <f t="shared" si="15"/>
        <v>334</v>
      </c>
      <c r="B337" s="387">
        <v>46062</v>
      </c>
      <c r="C337" s="388">
        <v>46024</v>
      </c>
      <c r="D337" s="389" t="s">
        <v>248</v>
      </c>
      <c r="E337" s="395" t="s">
        <v>454</v>
      </c>
      <c r="F337" s="404">
        <v>1500</v>
      </c>
      <c r="G337" s="397" t="s">
        <v>1259</v>
      </c>
      <c r="H337" s="389" t="s">
        <v>1418</v>
      </c>
      <c r="I337" s="398" t="s">
        <v>1080</v>
      </c>
      <c r="J337" s="399" t="s">
        <v>1081</v>
      </c>
      <c r="K337" s="390" t="str">
        <f t="shared" si="16"/>
        <v>XXX93363636 XX</v>
      </c>
      <c r="L337" s="391" t="s">
        <v>1996</v>
      </c>
      <c r="M337" s="398" t="s">
        <v>708</v>
      </c>
      <c r="N337" s="399">
        <v>73966</v>
      </c>
      <c r="O337" s="399" t="s">
        <v>1184</v>
      </c>
      <c r="P337" s="398" t="s">
        <v>574</v>
      </c>
    </row>
    <row r="338" spans="1:16" s="401" customFormat="1" ht="36">
      <c r="A338" s="452">
        <f t="shared" si="15"/>
        <v>335</v>
      </c>
      <c r="B338" s="387">
        <v>46062</v>
      </c>
      <c r="C338" s="388">
        <v>46024</v>
      </c>
      <c r="D338" s="389" t="s">
        <v>248</v>
      </c>
      <c r="E338" s="395" t="s">
        <v>454</v>
      </c>
      <c r="F338" s="404">
        <v>1800</v>
      </c>
      <c r="G338" s="397" t="s">
        <v>1259</v>
      </c>
      <c r="H338" s="389" t="s">
        <v>1418</v>
      </c>
      <c r="I338" s="398" t="s">
        <v>1082</v>
      </c>
      <c r="J338" s="399" t="s">
        <v>1083</v>
      </c>
      <c r="K338" s="390" t="str">
        <f t="shared" si="16"/>
        <v>XXX42486208 XX</v>
      </c>
      <c r="L338" s="391" t="s">
        <v>1996</v>
      </c>
      <c r="M338" s="398" t="s">
        <v>708</v>
      </c>
      <c r="N338" s="399">
        <v>73967</v>
      </c>
      <c r="O338" s="399" t="s">
        <v>1184</v>
      </c>
      <c r="P338" s="398" t="s">
        <v>574</v>
      </c>
    </row>
    <row r="339" spans="1:16" s="401" customFormat="1" ht="36">
      <c r="A339" s="452">
        <f t="shared" si="15"/>
        <v>336</v>
      </c>
      <c r="B339" s="387">
        <v>46062</v>
      </c>
      <c r="C339" s="388">
        <v>46024</v>
      </c>
      <c r="D339" s="389" t="s">
        <v>248</v>
      </c>
      <c r="E339" s="395" t="s">
        <v>454</v>
      </c>
      <c r="F339" s="404">
        <v>1500</v>
      </c>
      <c r="G339" s="397" t="s">
        <v>1259</v>
      </c>
      <c r="H339" s="389" t="s">
        <v>1418</v>
      </c>
      <c r="I339" s="398" t="s">
        <v>1084</v>
      </c>
      <c r="J339" s="399" t="s">
        <v>1085</v>
      </c>
      <c r="K339" s="390" t="str">
        <f t="shared" si="16"/>
        <v>XXX32776674 XX</v>
      </c>
      <c r="L339" s="391" t="s">
        <v>1996</v>
      </c>
      <c r="M339" s="398" t="s">
        <v>708</v>
      </c>
      <c r="N339" s="399">
        <v>73968</v>
      </c>
      <c r="O339" s="399" t="s">
        <v>1184</v>
      </c>
      <c r="P339" s="398" t="s">
        <v>574</v>
      </c>
    </row>
    <row r="340" spans="1:16" s="401" customFormat="1" ht="36">
      <c r="A340" s="452">
        <f t="shared" si="15"/>
        <v>337</v>
      </c>
      <c r="B340" s="387">
        <v>46062</v>
      </c>
      <c r="C340" s="388">
        <v>46024</v>
      </c>
      <c r="D340" s="389" t="s">
        <v>248</v>
      </c>
      <c r="E340" s="395" t="s">
        <v>454</v>
      </c>
      <c r="F340" s="404">
        <v>1800</v>
      </c>
      <c r="G340" s="397" t="s">
        <v>1259</v>
      </c>
      <c r="H340" s="389" t="s">
        <v>1418</v>
      </c>
      <c r="I340" s="398" t="s">
        <v>1086</v>
      </c>
      <c r="J340" s="399" t="s">
        <v>1087</v>
      </c>
      <c r="K340" s="390" t="str">
        <f t="shared" si="16"/>
        <v>XXX41278661 XX</v>
      </c>
      <c r="L340" s="391" t="s">
        <v>1996</v>
      </c>
      <c r="M340" s="398" t="s">
        <v>708</v>
      </c>
      <c r="N340" s="399">
        <v>73969</v>
      </c>
      <c r="O340" s="399" t="s">
        <v>1184</v>
      </c>
      <c r="P340" s="398" t="s">
        <v>574</v>
      </c>
    </row>
    <row r="341" spans="1:16" s="401" customFormat="1" ht="36">
      <c r="A341" s="452">
        <f t="shared" si="15"/>
        <v>338</v>
      </c>
      <c r="B341" s="387">
        <v>46062</v>
      </c>
      <c r="C341" s="388">
        <v>46024</v>
      </c>
      <c r="D341" s="389" t="s">
        <v>248</v>
      </c>
      <c r="E341" s="395" t="s">
        <v>454</v>
      </c>
      <c r="F341" s="404">
        <v>1500</v>
      </c>
      <c r="G341" s="397" t="s">
        <v>1259</v>
      </c>
      <c r="H341" s="389" t="s">
        <v>1418</v>
      </c>
      <c r="I341" s="398" t="s">
        <v>1088</v>
      </c>
      <c r="J341" s="399" t="s">
        <v>1089</v>
      </c>
      <c r="K341" s="390" t="str">
        <f t="shared" si="16"/>
        <v>XXX34290665 XX</v>
      </c>
      <c r="L341" s="391" t="s">
        <v>1996</v>
      </c>
      <c r="M341" s="398" t="s">
        <v>708</v>
      </c>
      <c r="N341" s="399">
        <v>73971</v>
      </c>
      <c r="O341" s="399" t="s">
        <v>1184</v>
      </c>
      <c r="P341" s="398" t="s">
        <v>574</v>
      </c>
    </row>
    <row r="342" spans="1:16" s="401" customFormat="1" ht="36">
      <c r="A342" s="452">
        <f t="shared" si="15"/>
        <v>339</v>
      </c>
      <c r="B342" s="387">
        <v>46062</v>
      </c>
      <c r="C342" s="388">
        <v>46024</v>
      </c>
      <c r="D342" s="389" t="s">
        <v>248</v>
      </c>
      <c r="E342" s="395" t="s">
        <v>454</v>
      </c>
      <c r="F342" s="404">
        <v>1500</v>
      </c>
      <c r="G342" s="397" t="s">
        <v>1259</v>
      </c>
      <c r="H342" s="389" t="s">
        <v>1418</v>
      </c>
      <c r="I342" s="398" t="s">
        <v>1090</v>
      </c>
      <c r="J342" s="399" t="s">
        <v>1091</v>
      </c>
      <c r="K342" s="390" t="str">
        <f t="shared" si="16"/>
        <v>XXX64962680 XX</v>
      </c>
      <c r="L342" s="391" t="s">
        <v>1996</v>
      </c>
      <c r="M342" s="398" t="s">
        <v>708</v>
      </c>
      <c r="N342" s="399">
        <v>73972</v>
      </c>
      <c r="O342" s="399" t="s">
        <v>1184</v>
      </c>
      <c r="P342" s="398" t="s">
        <v>574</v>
      </c>
    </row>
    <row r="343" spans="1:16" s="401" customFormat="1" ht="36">
      <c r="A343" s="452">
        <f t="shared" si="15"/>
        <v>340</v>
      </c>
      <c r="B343" s="387">
        <v>46062</v>
      </c>
      <c r="C343" s="388">
        <v>46024</v>
      </c>
      <c r="D343" s="389" t="s">
        <v>248</v>
      </c>
      <c r="E343" s="395" t="s">
        <v>454</v>
      </c>
      <c r="F343" s="404">
        <v>1800</v>
      </c>
      <c r="G343" s="397" t="s">
        <v>1259</v>
      </c>
      <c r="H343" s="389" t="s">
        <v>1418</v>
      </c>
      <c r="I343" s="398" t="s">
        <v>1092</v>
      </c>
      <c r="J343" s="399" t="s">
        <v>1093</v>
      </c>
      <c r="K343" s="390" t="str">
        <f t="shared" si="16"/>
        <v>XXX75959766 XX</v>
      </c>
      <c r="L343" s="391" t="s">
        <v>1996</v>
      </c>
      <c r="M343" s="398" t="s">
        <v>708</v>
      </c>
      <c r="N343" s="399">
        <v>73973</v>
      </c>
      <c r="O343" s="399" t="s">
        <v>1184</v>
      </c>
      <c r="P343" s="398" t="s">
        <v>574</v>
      </c>
    </row>
    <row r="344" spans="1:16" s="401" customFormat="1" ht="36">
      <c r="A344" s="452">
        <f t="shared" si="15"/>
        <v>341</v>
      </c>
      <c r="B344" s="387">
        <v>46062</v>
      </c>
      <c r="C344" s="388">
        <v>46024</v>
      </c>
      <c r="D344" s="389" t="s">
        <v>248</v>
      </c>
      <c r="E344" s="395" t="s">
        <v>454</v>
      </c>
      <c r="F344" s="404">
        <v>1800</v>
      </c>
      <c r="G344" s="397" t="s">
        <v>1259</v>
      </c>
      <c r="H344" s="389" t="s">
        <v>1418</v>
      </c>
      <c r="I344" s="398" t="s">
        <v>1094</v>
      </c>
      <c r="J344" s="399" t="s">
        <v>1095</v>
      </c>
      <c r="K344" s="390" t="str">
        <f t="shared" si="16"/>
        <v>XXX79919790 XX</v>
      </c>
      <c r="L344" s="391" t="s">
        <v>1996</v>
      </c>
      <c r="M344" s="398" t="s">
        <v>708</v>
      </c>
      <c r="N344" s="399">
        <v>73974</v>
      </c>
      <c r="O344" s="399" t="s">
        <v>1184</v>
      </c>
      <c r="P344" s="398" t="s">
        <v>574</v>
      </c>
    </row>
    <row r="345" spans="1:16" s="401" customFormat="1" ht="48">
      <c r="A345" s="452">
        <f t="shared" si="15"/>
        <v>342</v>
      </c>
      <c r="B345" s="387">
        <v>46062</v>
      </c>
      <c r="C345" s="388">
        <v>46055</v>
      </c>
      <c r="D345" s="389" t="s">
        <v>353</v>
      </c>
      <c r="E345" s="398" t="s">
        <v>587</v>
      </c>
      <c r="F345" s="404">
        <v>100</v>
      </c>
      <c r="G345" s="397" t="s">
        <v>1261</v>
      </c>
      <c r="H345" s="389" t="s">
        <v>280</v>
      </c>
      <c r="I345" s="394" t="s">
        <v>744</v>
      </c>
      <c r="J345" s="455">
        <v>7837375000150</v>
      </c>
      <c r="K345" s="390" t="str">
        <f t="shared" si="16"/>
        <v>XXX737500015XX</v>
      </c>
      <c r="L345" s="391" t="s">
        <v>1996</v>
      </c>
      <c r="M345" s="398" t="s">
        <v>708</v>
      </c>
      <c r="N345" s="399">
        <v>22026</v>
      </c>
      <c r="O345" s="399" t="s">
        <v>1185</v>
      </c>
      <c r="P345" s="398" t="s">
        <v>574</v>
      </c>
    </row>
    <row r="346" spans="1:16" s="401" customFormat="1" ht="48">
      <c r="A346" s="452">
        <f t="shared" si="15"/>
        <v>343</v>
      </c>
      <c r="B346" s="387">
        <v>46062</v>
      </c>
      <c r="C346" s="388">
        <v>46055</v>
      </c>
      <c r="D346" s="389" t="s">
        <v>353</v>
      </c>
      <c r="E346" s="398" t="s">
        <v>587</v>
      </c>
      <c r="F346" s="404">
        <v>100</v>
      </c>
      <c r="G346" s="397" t="s">
        <v>1262</v>
      </c>
      <c r="H346" s="389" t="s">
        <v>280</v>
      </c>
      <c r="I346" s="394" t="s">
        <v>744</v>
      </c>
      <c r="J346" s="455">
        <v>7837375000150</v>
      </c>
      <c r="K346" s="390" t="str">
        <f t="shared" si="16"/>
        <v>XXX737500015XX</v>
      </c>
      <c r="L346" s="391" t="s">
        <v>1996</v>
      </c>
      <c r="M346" s="398" t="s">
        <v>708</v>
      </c>
      <c r="N346" s="399">
        <v>22026</v>
      </c>
      <c r="O346" s="399" t="s">
        <v>1185</v>
      </c>
      <c r="P346" s="398" t="s">
        <v>574</v>
      </c>
    </row>
    <row r="347" spans="1:16" s="401" customFormat="1" ht="48">
      <c r="A347" s="452">
        <f t="shared" si="15"/>
        <v>344</v>
      </c>
      <c r="B347" s="387">
        <v>46062</v>
      </c>
      <c r="C347" s="388">
        <v>46055</v>
      </c>
      <c r="D347" s="389" t="s">
        <v>353</v>
      </c>
      <c r="E347" s="398" t="s">
        <v>587</v>
      </c>
      <c r="F347" s="404">
        <v>100</v>
      </c>
      <c r="G347" s="397" t="s">
        <v>1263</v>
      </c>
      <c r="H347" s="389" t="s">
        <v>280</v>
      </c>
      <c r="I347" s="394" t="s">
        <v>744</v>
      </c>
      <c r="J347" s="455">
        <v>7837375000150</v>
      </c>
      <c r="K347" s="390" t="str">
        <f t="shared" si="16"/>
        <v>XXX737500015XX</v>
      </c>
      <c r="L347" s="391" t="s">
        <v>1996</v>
      </c>
      <c r="M347" s="398" t="s">
        <v>708</v>
      </c>
      <c r="N347" s="399">
        <v>22026</v>
      </c>
      <c r="O347" s="399" t="s">
        <v>1185</v>
      </c>
      <c r="P347" s="398" t="s">
        <v>574</v>
      </c>
    </row>
    <row r="348" spans="1:16" s="401" customFormat="1" ht="48">
      <c r="A348" s="452">
        <f t="shared" si="15"/>
        <v>345</v>
      </c>
      <c r="B348" s="387">
        <v>46062</v>
      </c>
      <c r="C348" s="388">
        <v>46055</v>
      </c>
      <c r="D348" s="389" t="s">
        <v>353</v>
      </c>
      <c r="E348" s="398" t="s">
        <v>587</v>
      </c>
      <c r="F348" s="404">
        <v>100</v>
      </c>
      <c r="G348" s="397" t="s">
        <v>1264</v>
      </c>
      <c r="H348" s="389" t="s">
        <v>280</v>
      </c>
      <c r="I348" s="394" t="s">
        <v>744</v>
      </c>
      <c r="J348" s="455">
        <v>7837375000150</v>
      </c>
      <c r="K348" s="390" t="str">
        <f t="shared" si="16"/>
        <v>XXX737500015XX</v>
      </c>
      <c r="L348" s="391" t="s">
        <v>1996</v>
      </c>
      <c r="M348" s="398" t="s">
        <v>708</v>
      </c>
      <c r="N348" s="399">
        <v>22026</v>
      </c>
      <c r="O348" s="399" t="s">
        <v>1185</v>
      </c>
      <c r="P348" s="398" t="s">
        <v>574</v>
      </c>
    </row>
    <row r="349" spans="1:16" s="401" customFormat="1" ht="36">
      <c r="A349" s="452">
        <f t="shared" si="15"/>
        <v>346</v>
      </c>
      <c r="B349" s="387">
        <v>46062</v>
      </c>
      <c r="C349" s="388">
        <v>46055</v>
      </c>
      <c r="D349" s="389" t="s">
        <v>353</v>
      </c>
      <c r="E349" s="394" t="s">
        <v>334</v>
      </c>
      <c r="F349" s="404">
        <v>60</v>
      </c>
      <c r="G349" s="397" t="s">
        <v>1265</v>
      </c>
      <c r="H349" s="389" t="s">
        <v>280</v>
      </c>
      <c r="I349" s="394" t="s">
        <v>744</v>
      </c>
      <c r="J349" s="455">
        <v>7837375000150</v>
      </c>
      <c r="K349" s="390" t="str">
        <f t="shared" si="16"/>
        <v>XXX737500015XX</v>
      </c>
      <c r="L349" s="391" t="s">
        <v>1996</v>
      </c>
      <c r="M349" s="398" t="s">
        <v>708</v>
      </c>
      <c r="N349" s="399">
        <v>12026</v>
      </c>
      <c r="O349" s="399" t="s">
        <v>1186</v>
      </c>
      <c r="P349" s="398" t="s">
        <v>574</v>
      </c>
    </row>
    <row r="350" spans="1:16" s="401" customFormat="1" ht="36">
      <c r="A350" s="452">
        <f t="shared" si="15"/>
        <v>347</v>
      </c>
      <c r="B350" s="387">
        <v>46062</v>
      </c>
      <c r="C350" s="388">
        <v>46024</v>
      </c>
      <c r="D350" s="389" t="s">
        <v>248</v>
      </c>
      <c r="E350" s="393" t="s">
        <v>167</v>
      </c>
      <c r="F350" s="404">
        <v>137.9</v>
      </c>
      <c r="G350" s="397" t="s">
        <v>1266</v>
      </c>
      <c r="H350" s="389" t="s">
        <v>278</v>
      </c>
      <c r="I350" s="398" t="s">
        <v>639</v>
      </c>
      <c r="J350" s="399" t="s">
        <v>640</v>
      </c>
      <c r="K350" s="390" t="str">
        <f t="shared" si="16"/>
        <v>XXX702290021XX</v>
      </c>
      <c r="L350" s="391" t="s">
        <v>1996</v>
      </c>
      <c r="M350" s="398" t="s">
        <v>717</v>
      </c>
      <c r="N350" s="399">
        <v>34796233</v>
      </c>
      <c r="O350" s="399" t="s">
        <v>910</v>
      </c>
      <c r="P350" s="398" t="s">
        <v>574</v>
      </c>
    </row>
    <row r="351" spans="1:16" s="401" customFormat="1" ht="36">
      <c r="A351" s="452">
        <f t="shared" si="15"/>
        <v>348</v>
      </c>
      <c r="B351" s="387">
        <v>46062</v>
      </c>
      <c r="C351" s="388">
        <v>46055</v>
      </c>
      <c r="D351" s="389" t="s">
        <v>353</v>
      </c>
      <c r="E351" s="394" t="s">
        <v>334</v>
      </c>
      <c r="F351" s="404">
        <v>250</v>
      </c>
      <c r="G351" s="397" t="s">
        <v>1267</v>
      </c>
      <c r="H351" s="389" t="s">
        <v>280</v>
      </c>
      <c r="I351" s="394" t="s">
        <v>744</v>
      </c>
      <c r="J351" s="455">
        <v>7837375000150</v>
      </c>
      <c r="K351" s="390" t="str">
        <f t="shared" si="16"/>
        <v>XXX737500015XX</v>
      </c>
      <c r="L351" s="391" t="s">
        <v>1996</v>
      </c>
      <c r="M351" s="398" t="s">
        <v>708</v>
      </c>
      <c r="N351" s="399">
        <v>22026</v>
      </c>
      <c r="O351" s="399" t="s">
        <v>1185</v>
      </c>
      <c r="P351" s="398" t="s">
        <v>574</v>
      </c>
    </row>
    <row r="352" spans="1:16" s="401" customFormat="1" ht="48">
      <c r="A352" s="452">
        <f t="shared" si="15"/>
        <v>349</v>
      </c>
      <c r="B352" s="387">
        <v>46062</v>
      </c>
      <c r="C352" s="388">
        <v>46055</v>
      </c>
      <c r="D352" s="389" t="s">
        <v>353</v>
      </c>
      <c r="E352" s="398" t="s">
        <v>587</v>
      </c>
      <c r="F352" s="404">
        <v>100</v>
      </c>
      <c r="G352" s="397" t="s">
        <v>1268</v>
      </c>
      <c r="H352" s="389" t="s">
        <v>280</v>
      </c>
      <c r="I352" s="394" t="s">
        <v>744</v>
      </c>
      <c r="J352" s="455">
        <v>7837375000150</v>
      </c>
      <c r="K352" s="390" t="str">
        <f t="shared" si="16"/>
        <v>XXX737500015XX</v>
      </c>
      <c r="L352" s="391" t="s">
        <v>1996</v>
      </c>
      <c r="M352" s="398" t="s">
        <v>708</v>
      </c>
      <c r="N352" s="399">
        <v>22026</v>
      </c>
      <c r="O352" s="399" t="s">
        <v>1185</v>
      </c>
      <c r="P352" s="398" t="s">
        <v>574</v>
      </c>
    </row>
    <row r="353" spans="1:16" s="401" customFormat="1" ht="48">
      <c r="A353" s="452">
        <f t="shared" si="15"/>
        <v>350</v>
      </c>
      <c r="B353" s="387">
        <v>46062</v>
      </c>
      <c r="C353" s="388">
        <v>46055</v>
      </c>
      <c r="D353" s="389" t="s">
        <v>353</v>
      </c>
      <c r="E353" s="398" t="s">
        <v>587</v>
      </c>
      <c r="F353" s="404">
        <v>100</v>
      </c>
      <c r="G353" s="397" t="s">
        <v>1269</v>
      </c>
      <c r="H353" s="389" t="s">
        <v>280</v>
      </c>
      <c r="I353" s="394" t="s">
        <v>744</v>
      </c>
      <c r="J353" s="455">
        <v>7837375000150</v>
      </c>
      <c r="K353" s="390" t="str">
        <f t="shared" si="16"/>
        <v>XXX737500015XX</v>
      </c>
      <c r="L353" s="391" t="s">
        <v>1996</v>
      </c>
      <c r="M353" s="398" t="s">
        <v>708</v>
      </c>
      <c r="N353" s="399">
        <v>22026</v>
      </c>
      <c r="O353" s="399" t="s">
        <v>1185</v>
      </c>
      <c r="P353" s="398" t="s">
        <v>574</v>
      </c>
    </row>
    <row r="354" spans="1:16" s="401" customFormat="1" ht="48">
      <c r="A354" s="452">
        <f t="shared" si="15"/>
        <v>351</v>
      </c>
      <c r="B354" s="387">
        <v>46062</v>
      </c>
      <c r="C354" s="388">
        <v>46055</v>
      </c>
      <c r="D354" s="389" t="s">
        <v>353</v>
      </c>
      <c r="E354" s="398" t="s">
        <v>587</v>
      </c>
      <c r="F354" s="404">
        <v>100</v>
      </c>
      <c r="G354" s="397" t="s">
        <v>1270</v>
      </c>
      <c r="H354" s="389" t="s">
        <v>280</v>
      </c>
      <c r="I354" s="394" t="s">
        <v>744</v>
      </c>
      <c r="J354" s="455">
        <v>7837375000150</v>
      </c>
      <c r="K354" s="390" t="str">
        <f t="shared" si="16"/>
        <v>XXX737500015XX</v>
      </c>
      <c r="L354" s="391" t="s">
        <v>1996</v>
      </c>
      <c r="M354" s="398" t="s">
        <v>708</v>
      </c>
      <c r="N354" s="399">
        <v>22026</v>
      </c>
      <c r="O354" s="399" t="s">
        <v>1185</v>
      </c>
      <c r="P354" s="398" t="s">
        <v>574</v>
      </c>
    </row>
    <row r="355" spans="1:16" s="401" customFormat="1" ht="36">
      <c r="A355" s="452">
        <f t="shared" si="15"/>
        <v>352</v>
      </c>
      <c r="B355" s="387">
        <v>46062</v>
      </c>
      <c r="C355" s="388">
        <v>46055</v>
      </c>
      <c r="D355" s="389" t="s">
        <v>248</v>
      </c>
      <c r="E355" s="398" t="s">
        <v>597</v>
      </c>
      <c r="F355" s="404">
        <v>87.27</v>
      </c>
      <c r="G355" s="397" t="s">
        <v>1271</v>
      </c>
      <c r="H355" s="389" t="s">
        <v>278</v>
      </c>
      <c r="I355" s="398" t="s">
        <v>881</v>
      </c>
      <c r="J355" s="399" t="s">
        <v>773</v>
      </c>
      <c r="K355" s="390" t="str">
        <f t="shared" si="16"/>
        <v>XXX000000000XX</v>
      </c>
      <c r="L355" s="391" t="s">
        <v>1996</v>
      </c>
      <c r="M355" s="398" t="s">
        <v>710</v>
      </c>
      <c r="N355" s="399">
        <v>587332</v>
      </c>
      <c r="O355" s="399" t="s">
        <v>1185</v>
      </c>
      <c r="P355" s="398" t="s">
        <v>735</v>
      </c>
    </row>
    <row r="356" spans="1:16" s="401" customFormat="1" ht="36">
      <c r="A356" s="452">
        <f t="shared" si="15"/>
        <v>353</v>
      </c>
      <c r="B356" s="387">
        <v>46062</v>
      </c>
      <c r="C356" s="388">
        <v>46024</v>
      </c>
      <c r="D356" s="389" t="s">
        <v>248</v>
      </c>
      <c r="E356" s="398" t="s">
        <v>1211</v>
      </c>
      <c r="F356" s="404">
        <v>425</v>
      </c>
      <c r="G356" s="397" t="s">
        <v>1831</v>
      </c>
      <c r="H356" s="389" t="s">
        <v>278</v>
      </c>
      <c r="I356" s="398" t="s">
        <v>635</v>
      </c>
      <c r="J356" s="399" t="s">
        <v>636</v>
      </c>
      <c r="K356" s="390" t="str">
        <f t="shared" si="16"/>
        <v>XXX153830001XX</v>
      </c>
      <c r="L356" s="391" t="s">
        <v>1996</v>
      </c>
      <c r="M356" s="398" t="s">
        <v>712</v>
      </c>
      <c r="N356" s="399">
        <v>11</v>
      </c>
      <c r="O356" s="399" t="s">
        <v>902</v>
      </c>
      <c r="P356" s="398" t="s">
        <v>868</v>
      </c>
    </row>
    <row r="357" spans="1:16" s="401" customFormat="1" ht="36">
      <c r="A357" s="452">
        <f t="shared" si="15"/>
        <v>354</v>
      </c>
      <c r="B357" s="387">
        <v>46062</v>
      </c>
      <c r="C357" s="388">
        <v>46055</v>
      </c>
      <c r="D357" s="389" t="s">
        <v>353</v>
      </c>
      <c r="E357" s="394" t="s">
        <v>334</v>
      </c>
      <c r="F357" s="404">
        <v>125</v>
      </c>
      <c r="G357" s="397" t="s">
        <v>1272</v>
      </c>
      <c r="H357" s="389" t="s">
        <v>280</v>
      </c>
      <c r="I357" s="394" t="s">
        <v>744</v>
      </c>
      <c r="J357" s="455">
        <v>7837375000150</v>
      </c>
      <c r="K357" s="390" t="str">
        <f t="shared" si="16"/>
        <v>XXX737500015XX</v>
      </c>
      <c r="L357" s="391" t="s">
        <v>1996</v>
      </c>
      <c r="M357" s="398" t="s">
        <v>708</v>
      </c>
      <c r="N357" s="399">
        <v>22026</v>
      </c>
      <c r="O357" s="399" t="s">
        <v>1185</v>
      </c>
      <c r="P357" s="398" t="s">
        <v>574</v>
      </c>
    </row>
    <row r="358" spans="1:16" s="401" customFormat="1" ht="36">
      <c r="A358" s="452">
        <f t="shared" si="15"/>
        <v>355</v>
      </c>
      <c r="B358" s="387">
        <v>46062</v>
      </c>
      <c r="C358" s="388">
        <v>46024</v>
      </c>
      <c r="D358" s="389" t="s">
        <v>248</v>
      </c>
      <c r="E358" s="398" t="s">
        <v>582</v>
      </c>
      <c r="F358" s="404">
        <v>2273.9499999999998</v>
      </c>
      <c r="G358" s="397" t="s">
        <v>1273</v>
      </c>
      <c r="H358" s="389" t="s">
        <v>737</v>
      </c>
      <c r="I358" s="398" t="s">
        <v>613</v>
      </c>
      <c r="J358" s="399" t="s">
        <v>773</v>
      </c>
      <c r="K358" s="390" t="str">
        <f t="shared" si="16"/>
        <v>XXX000000000XX</v>
      </c>
      <c r="L358" s="391" t="s">
        <v>1996</v>
      </c>
      <c r="M358" s="398" t="s">
        <v>704</v>
      </c>
      <c r="N358" s="399">
        <v>25729559</v>
      </c>
      <c r="O358" s="399" t="s">
        <v>884</v>
      </c>
      <c r="P358" s="398" t="s">
        <v>574</v>
      </c>
    </row>
    <row r="359" spans="1:16" s="401" customFormat="1" ht="36">
      <c r="A359" s="452">
        <f t="shared" si="15"/>
        <v>356</v>
      </c>
      <c r="B359" s="387">
        <v>46062</v>
      </c>
      <c r="C359" s="388">
        <v>46024</v>
      </c>
      <c r="D359" s="389" t="s">
        <v>248</v>
      </c>
      <c r="E359" s="393" t="s">
        <v>164</v>
      </c>
      <c r="F359" s="404">
        <v>1446.02</v>
      </c>
      <c r="G359" s="397" t="s">
        <v>1274</v>
      </c>
      <c r="H359" s="389" t="s">
        <v>278</v>
      </c>
      <c r="I359" s="398" t="s">
        <v>628</v>
      </c>
      <c r="J359" s="399" t="s">
        <v>629</v>
      </c>
      <c r="K359" s="390" t="str">
        <f t="shared" si="16"/>
        <v>XXX905900001XX</v>
      </c>
      <c r="L359" s="391" t="s">
        <v>1996</v>
      </c>
      <c r="M359" s="398" t="s">
        <v>704</v>
      </c>
      <c r="N359" s="399">
        <v>15894133</v>
      </c>
      <c r="O359" s="399" t="s">
        <v>885</v>
      </c>
      <c r="P359" s="398" t="s">
        <v>574</v>
      </c>
    </row>
    <row r="360" spans="1:16" s="401" customFormat="1" ht="48">
      <c r="A360" s="452">
        <f t="shared" si="15"/>
        <v>357</v>
      </c>
      <c r="B360" s="387">
        <v>46062</v>
      </c>
      <c r="C360" s="388">
        <v>46024</v>
      </c>
      <c r="D360" s="389" t="s">
        <v>248</v>
      </c>
      <c r="E360" s="393" t="s">
        <v>169</v>
      </c>
      <c r="F360" s="404">
        <v>4433.8599999999997</v>
      </c>
      <c r="G360" s="397" t="s">
        <v>1275</v>
      </c>
      <c r="H360" s="392" t="s">
        <v>736</v>
      </c>
      <c r="I360" s="398" t="s">
        <v>634</v>
      </c>
      <c r="J360" s="399" t="s">
        <v>773</v>
      </c>
      <c r="K360" s="390" t="str">
        <f t="shared" si="16"/>
        <v>XXX000000000XX</v>
      </c>
      <c r="L360" s="391" t="s">
        <v>1996</v>
      </c>
      <c r="M360" s="398" t="s">
        <v>704</v>
      </c>
      <c r="N360" s="399">
        <v>119</v>
      </c>
      <c r="O360" s="399" t="s">
        <v>898</v>
      </c>
      <c r="P360" s="398" t="s">
        <v>574</v>
      </c>
    </row>
    <row r="361" spans="1:16" s="401" customFormat="1" ht="48">
      <c r="A361" s="452">
        <f t="shared" si="15"/>
        <v>358</v>
      </c>
      <c r="B361" s="387">
        <v>46062</v>
      </c>
      <c r="C361" s="388">
        <v>46024</v>
      </c>
      <c r="D361" s="389" t="s">
        <v>248</v>
      </c>
      <c r="E361" s="393" t="s">
        <v>169</v>
      </c>
      <c r="F361" s="404">
        <v>155.15</v>
      </c>
      <c r="G361" s="397" t="s">
        <v>1276</v>
      </c>
      <c r="H361" s="389" t="s">
        <v>736</v>
      </c>
      <c r="I361" s="398" t="s">
        <v>624</v>
      </c>
      <c r="J361" s="399" t="s">
        <v>625</v>
      </c>
      <c r="K361" s="390" t="str">
        <f t="shared" si="16"/>
        <v>XXX924510001XX</v>
      </c>
      <c r="L361" s="391" t="s">
        <v>1996</v>
      </c>
      <c r="M361" s="398" t="s">
        <v>709</v>
      </c>
      <c r="N361" s="399">
        <v>119</v>
      </c>
      <c r="O361" s="399" t="s">
        <v>898</v>
      </c>
      <c r="P361" s="398" t="s">
        <v>574</v>
      </c>
    </row>
    <row r="362" spans="1:16" s="401" customFormat="1" ht="84">
      <c r="A362" s="452">
        <f t="shared" si="15"/>
        <v>359</v>
      </c>
      <c r="B362" s="387">
        <v>46063</v>
      </c>
      <c r="C362" s="388">
        <v>46024</v>
      </c>
      <c r="D362" s="389" t="s">
        <v>248</v>
      </c>
      <c r="E362" s="393" t="s">
        <v>164</v>
      </c>
      <c r="F362" s="404">
        <v>1610.83</v>
      </c>
      <c r="G362" s="397" t="s">
        <v>1277</v>
      </c>
      <c r="H362" s="389" t="s">
        <v>278</v>
      </c>
      <c r="I362" s="398" t="s">
        <v>803</v>
      </c>
      <c r="J362" s="399" t="s">
        <v>804</v>
      </c>
      <c r="K362" s="390" t="str">
        <f t="shared" si="16"/>
        <v>XXX105090013XX</v>
      </c>
      <c r="L362" s="391" t="s">
        <v>1996</v>
      </c>
      <c r="M362" s="398" t="s">
        <v>704</v>
      </c>
      <c r="N362" s="399">
        <v>22426</v>
      </c>
      <c r="O362" s="399" t="s">
        <v>898</v>
      </c>
      <c r="P362" s="398" t="s">
        <v>574</v>
      </c>
    </row>
    <row r="363" spans="1:16" s="401" customFormat="1" ht="84">
      <c r="A363" s="452">
        <f t="shared" si="15"/>
        <v>360</v>
      </c>
      <c r="B363" s="387">
        <v>46063</v>
      </c>
      <c r="C363" s="388">
        <v>46024</v>
      </c>
      <c r="D363" s="389" t="s">
        <v>248</v>
      </c>
      <c r="E363" s="393" t="s">
        <v>164</v>
      </c>
      <c r="F363" s="404">
        <v>555.45000000000005</v>
      </c>
      <c r="G363" s="397" t="s">
        <v>1277</v>
      </c>
      <c r="H363" s="389" t="s">
        <v>278</v>
      </c>
      <c r="I363" s="398" t="s">
        <v>803</v>
      </c>
      <c r="J363" s="399" t="s">
        <v>804</v>
      </c>
      <c r="K363" s="390" t="str">
        <f t="shared" si="16"/>
        <v>XXX105090013XX</v>
      </c>
      <c r="L363" s="391" t="s">
        <v>1996</v>
      </c>
      <c r="M363" s="398" t="s">
        <v>704</v>
      </c>
      <c r="N363" s="399">
        <v>22425</v>
      </c>
      <c r="O363" s="399" t="s">
        <v>907</v>
      </c>
      <c r="P363" s="398" t="s">
        <v>574</v>
      </c>
    </row>
    <row r="364" spans="1:16" s="401" customFormat="1" ht="36">
      <c r="A364" s="452">
        <f t="shared" si="15"/>
        <v>361</v>
      </c>
      <c r="B364" s="387">
        <v>46063</v>
      </c>
      <c r="C364" s="388">
        <v>46024</v>
      </c>
      <c r="D364" s="389" t="s">
        <v>248</v>
      </c>
      <c r="E364" s="393" t="s">
        <v>164</v>
      </c>
      <c r="F364" s="404">
        <v>205</v>
      </c>
      <c r="G364" s="397" t="s">
        <v>1278</v>
      </c>
      <c r="H364" s="389" t="s">
        <v>278</v>
      </c>
      <c r="I364" s="398" t="s">
        <v>1096</v>
      </c>
      <c r="J364" s="399" t="s">
        <v>1097</v>
      </c>
      <c r="K364" s="390" t="str">
        <f t="shared" si="16"/>
        <v>XXX140620002XX</v>
      </c>
      <c r="L364" s="391" t="s">
        <v>1996</v>
      </c>
      <c r="M364" s="398" t="s">
        <v>704</v>
      </c>
      <c r="N364" s="399">
        <v>69</v>
      </c>
      <c r="O364" s="399" t="s">
        <v>1187</v>
      </c>
      <c r="P364" s="398" t="s">
        <v>574</v>
      </c>
    </row>
    <row r="365" spans="1:16" s="401" customFormat="1" ht="24">
      <c r="A365" s="452">
        <f t="shared" si="15"/>
        <v>362</v>
      </c>
      <c r="B365" s="387">
        <v>46063</v>
      </c>
      <c r="C365" s="388">
        <v>46055</v>
      </c>
      <c r="D365" s="389" t="s">
        <v>248</v>
      </c>
      <c r="E365" s="395" t="s">
        <v>0</v>
      </c>
      <c r="F365" s="404">
        <v>24.9</v>
      </c>
      <c r="G365" s="397" t="s">
        <v>1279</v>
      </c>
      <c r="H365" s="389" t="s">
        <v>278</v>
      </c>
      <c r="I365" s="398" t="s">
        <v>881</v>
      </c>
      <c r="J365" s="399" t="s">
        <v>773</v>
      </c>
      <c r="K365" s="390" t="str">
        <f t="shared" si="16"/>
        <v>XXX000000000XX</v>
      </c>
      <c r="L365" s="391" t="s">
        <v>1996</v>
      </c>
      <c r="M365" s="398" t="s">
        <v>710</v>
      </c>
      <c r="N365" s="399">
        <v>415535</v>
      </c>
      <c r="O365" s="399" t="s">
        <v>1188</v>
      </c>
      <c r="P365" s="398" t="s">
        <v>735</v>
      </c>
    </row>
    <row r="366" spans="1:16" s="401" customFormat="1" ht="36">
      <c r="A366" s="452">
        <f t="shared" si="15"/>
        <v>363</v>
      </c>
      <c r="B366" s="387">
        <v>46063</v>
      </c>
      <c r="C366" s="388">
        <v>46055</v>
      </c>
      <c r="D366" s="389" t="s">
        <v>166</v>
      </c>
      <c r="E366" s="398" t="s">
        <v>586</v>
      </c>
      <c r="F366" s="404">
        <v>920</v>
      </c>
      <c r="G366" s="397" t="s">
        <v>1280</v>
      </c>
      <c r="H366" s="389" t="s">
        <v>166</v>
      </c>
      <c r="I366" s="398" t="s">
        <v>620</v>
      </c>
      <c r="J366" s="399" t="s">
        <v>621</v>
      </c>
      <c r="K366" s="390" t="str">
        <f t="shared" si="16"/>
        <v>XXX408760001XX</v>
      </c>
      <c r="L366" s="391" t="s">
        <v>1996</v>
      </c>
      <c r="M366" s="398" t="s">
        <v>706</v>
      </c>
      <c r="N366" s="399">
        <v>2057887374</v>
      </c>
      <c r="O366" s="399" t="s">
        <v>1188</v>
      </c>
      <c r="P366" s="398" t="s">
        <v>572</v>
      </c>
    </row>
    <row r="367" spans="1:16" s="401" customFormat="1" ht="48">
      <c r="A367" s="452">
        <f t="shared" si="15"/>
        <v>364</v>
      </c>
      <c r="B367" s="387">
        <v>46063</v>
      </c>
      <c r="C367" s="388">
        <v>46055</v>
      </c>
      <c r="D367" s="389" t="s">
        <v>353</v>
      </c>
      <c r="E367" s="394" t="s">
        <v>334</v>
      </c>
      <c r="F367" s="404">
        <v>560</v>
      </c>
      <c r="G367" s="397" t="s">
        <v>1281</v>
      </c>
      <c r="H367" s="389" t="s">
        <v>280</v>
      </c>
      <c r="I367" s="394" t="s">
        <v>744</v>
      </c>
      <c r="J367" s="455">
        <v>7837375000150</v>
      </c>
      <c r="K367" s="390" t="str">
        <f t="shared" si="16"/>
        <v>XXX737500015XX</v>
      </c>
      <c r="L367" s="391" t="s">
        <v>1996</v>
      </c>
      <c r="M367" s="398" t="s">
        <v>707</v>
      </c>
      <c r="N367" s="399">
        <v>12025</v>
      </c>
      <c r="O367" s="399" t="s">
        <v>1182</v>
      </c>
      <c r="P367" s="398" t="s">
        <v>868</v>
      </c>
    </row>
    <row r="368" spans="1:16" s="401" customFormat="1" ht="48">
      <c r="A368" s="452">
        <f t="shared" si="15"/>
        <v>365</v>
      </c>
      <c r="B368" s="387">
        <v>46063</v>
      </c>
      <c r="C368" s="388">
        <v>46055</v>
      </c>
      <c r="D368" s="389" t="s">
        <v>353</v>
      </c>
      <c r="E368" s="394" t="s">
        <v>334</v>
      </c>
      <c r="F368" s="404">
        <v>0.06</v>
      </c>
      <c r="G368" s="397" t="s">
        <v>1282</v>
      </c>
      <c r="H368" s="389" t="s">
        <v>280</v>
      </c>
      <c r="I368" s="394" t="s">
        <v>744</v>
      </c>
      <c r="J368" s="455">
        <v>7837375000150</v>
      </c>
      <c r="K368" s="390" t="str">
        <f t="shared" si="16"/>
        <v>XXX737500015XX</v>
      </c>
      <c r="L368" s="391" t="s">
        <v>1996</v>
      </c>
      <c r="M368" s="398" t="s">
        <v>711</v>
      </c>
      <c r="N368" s="399">
        <v>22026</v>
      </c>
      <c r="O368" s="399" t="s">
        <v>1188</v>
      </c>
      <c r="P368" s="398" t="s">
        <v>868</v>
      </c>
    </row>
    <row r="369" spans="1:16" s="401" customFormat="1" ht="48">
      <c r="A369" s="452">
        <f t="shared" si="15"/>
        <v>366</v>
      </c>
      <c r="B369" s="387">
        <v>46063</v>
      </c>
      <c r="C369" s="388">
        <v>46055</v>
      </c>
      <c r="D369" s="389" t="s">
        <v>353</v>
      </c>
      <c r="E369" s="398" t="s">
        <v>587</v>
      </c>
      <c r="F369" s="404">
        <v>100</v>
      </c>
      <c r="G369" s="397" t="s">
        <v>1283</v>
      </c>
      <c r="H369" s="389" t="s">
        <v>280</v>
      </c>
      <c r="I369" s="394" t="s">
        <v>744</v>
      </c>
      <c r="J369" s="455">
        <v>7837375000150</v>
      </c>
      <c r="K369" s="390" t="str">
        <f t="shared" si="16"/>
        <v>XXX737500015XX</v>
      </c>
      <c r="L369" s="391" t="s">
        <v>1996</v>
      </c>
      <c r="M369" s="398" t="s">
        <v>708</v>
      </c>
      <c r="N369" s="399">
        <v>22026</v>
      </c>
      <c r="O369" s="399" t="s">
        <v>1188</v>
      </c>
      <c r="P369" s="398" t="s">
        <v>574</v>
      </c>
    </row>
    <row r="370" spans="1:16" s="401" customFormat="1" ht="48">
      <c r="A370" s="452">
        <f t="shared" si="15"/>
        <v>367</v>
      </c>
      <c r="B370" s="387">
        <v>46063</v>
      </c>
      <c r="C370" s="388">
        <v>46055</v>
      </c>
      <c r="D370" s="389" t="s">
        <v>353</v>
      </c>
      <c r="E370" s="398" t="s">
        <v>587</v>
      </c>
      <c r="F370" s="404">
        <v>100</v>
      </c>
      <c r="G370" s="397" t="s">
        <v>1284</v>
      </c>
      <c r="H370" s="389" t="s">
        <v>280</v>
      </c>
      <c r="I370" s="394" t="s">
        <v>744</v>
      </c>
      <c r="J370" s="455">
        <v>7837375000150</v>
      </c>
      <c r="K370" s="390" t="str">
        <f t="shared" si="16"/>
        <v>XXX737500015XX</v>
      </c>
      <c r="L370" s="391" t="s">
        <v>1996</v>
      </c>
      <c r="M370" s="398" t="s">
        <v>708</v>
      </c>
      <c r="N370" s="399">
        <v>22026</v>
      </c>
      <c r="O370" s="399" t="s">
        <v>1188</v>
      </c>
      <c r="P370" s="398" t="s">
        <v>574</v>
      </c>
    </row>
    <row r="371" spans="1:16" s="401" customFormat="1" ht="48">
      <c r="A371" s="452">
        <f t="shared" si="15"/>
        <v>368</v>
      </c>
      <c r="B371" s="387">
        <v>46063</v>
      </c>
      <c r="C371" s="388">
        <v>46055</v>
      </c>
      <c r="D371" s="389" t="s">
        <v>353</v>
      </c>
      <c r="E371" s="398" t="s">
        <v>587</v>
      </c>
      <c r="F371" s="404">
        <v>100</v>
      </c>
      <c r="G371" s="397" t="s">
        <v>1285</v>
      </c>
      <c r="H371" s="389" t="s">
        <v>280</v>
      </c>
      <c r="I371" s="394" t="s">
        <v>744</v>
      </c>
      <c r="J371" s="455">
        <v>7837375000150</v>
      </c>
      <c r="K371" s="390" t="str">
        <f t="shared" si="16"/>
        <v>XXX737500015XX</v>
      </c>
      <c r="L371" s="391" t="s">
        <v>1996</v>
      </c>
      <c r="M371" s="398" t="s">
        <v>708</v>
      </c>
      <c r="N371" s="399">
        <v>22026</v>
      </c>
      <c r="O371" s="399" t="s">
        <v>1188</v>
      </c>
      <c r="P371" s="398" t="s">
        <v>574</v>
      </c>
    </row>
    <row r="372" spans="1:16" s="401" customFormat="1" ht="48">
      <c r="A372" s="452">
        <f t="shared" si="15"/>
        <v>369</v>
      </c>
      <c r="B372" s="387">
        <v>46063</v>
      </c>
      <c r="C372" s="388">
        <v>46055</v>
      </c>
      <c r="D372" s="389" t="s">
        <v>353</v>
      </c>
      <c r="E372" s="398" t="s">
        <v>587</v>
      </c>
      <c r="F372" s="404">
        <v>100</v>
      </c>
      <c r="G372" s="397" t="s">
        <v>1286</v>
      </c>
      <c r="H372" s="389" t="s">
        <v>280</v>
      </c>
      <c r="I372" s="394" t="s">
        <v>744</v>
      </c>
      <c r="J372" s="455">
        <v>7837375000150</v>
      </c>
      <c r="K372" s="390" t="str">
        <f t="shared" si="16"/>
        <v>XXX737500015XX</v>
      </c>
      <c r="L372" s="391" t="s">
        <v>1996</v>
      </c>
      <c r="M372" s="398" t="s">
        <v>708</v>
      </c>
      <c r="N372" s="399">
        <v>22026</v>
      </c>
      <c r="O372" s="399" t="s">
        <v>1188</v>
      </c>
      <c r="P372" s="398" t="s">
        <v>574</v>
      </c>
    </row>
    <row r="373" spans="1:16" s="401" customFormat="1" ht="48">
      <c r="A373" s="452">
        <f t="shared" si="15"/>
        <v>370</v>
      </c>
      <c r="B373" s="387">
        <v>46063</v>
      </c>
      <c r="C373" s="388">
        <v>46055</v>
      </c>
      <c r="D373" s="389" t="s">
        <v>353</v>
      </c>
      <c r="E373" s="398" t="s">
        <v>587</v>
      </c>
      <c r="F373" s="404">
        <v>100</v>
      </c>
      <c r="G373" s="397" t="s">
        <v>1287</v>
      </c>
      <c r="H373" s="389" t="s">
        <v>280</v>
      </c>
      <c r="I373" s="394" t="s">
        <v>744</v>
      </c>
      <c r="J373" s="455">
        <v>7837375000150</v>
      </c>
      <c r="K373" s="390" t="str">
        <f t="shared" si="16"/>
        <v>XXX737500015XX</v>
      </c>
      <c r="L373" s="391" t="s">
        <v>1996</v>
      </c>
      <c r="M373" s="398" t="s">
        <v>708</v>
      </c>
      <c r="N373" s="399">
        <v>22026</v>
      </c>
      <c r="O373" s="399" t="s">
        <v>1188</v>
      </c>
      <c r="P373" s="398" t="s">
        <v>574</v>
      </c>
    </row>
    <row r="374" spans="1:16" s="401" customFormat="1" ht="46.5" customHeight="1">
      <c r="A374" s="452">
        <f t="shared" si="15"/>
        <v>371</v>
      </c>
      <c r="B374" s="387">
        <v>46063</v>
      </c>
      <c r="C374" s="388">
        <v>46055</v>
      </c>
      <c r="D374" s="389" t="s">
        <v>353</v>
      </c>
      <c r="E374" s="398" t="s">
        <v>587</v>
      </c>
      <c r="F374" s="404">
        <v>100</v>
      </c>
      <c r="G374" s="397" t="s">
        <v>1288</v>
      </c>
      <c r="H374" s="389" t="s">
        <v>280</v>
      </c>
      <c r="I374" s="394" t="s">
        <v>744</v>
      </c>
      <c r="J374" s="455">
        <v>7837375000150</v>
      </c>
      <c r="K374" s="390" t="str">
        <f t="shared" si="16"/>
        <v>XXX737500015XX</v>
      </c>
      <c r="L374" s="391" t="s">
        <v>1996</v>
      </c>
      <c r="M374" s="398" t="s">
        <v>708</v>
      </c>
      <c r="N374" s="399">
        <v>22026</v>
      </c>
      <c r="O374" s="399" t="s">
        <v>1188</v>
      </c>
      <c r="P374" s="398" t="s">
        <v>574</v>
      </c>
    </row>
    <row r="375" spans="1:16" s="401" customFormat="1" ht="48" customHeight="1">
      <c r="A375" s="452">
        <f t="shared" si="15"/>
        <v>372</v>
      </c>
      <c r="B375" s="387">
        <v>46063</v>
      </c>
      <c r="C375" s="388">
        <v>46055</v>
      </c>
      <c r="D375" s="389" t="s">
        <v>353</v>
      </c>
      <c r="E375" s="398" t="s">
        <v>587</v>
      </c>
      <c r="F375" s="404">
        <v>100</v>
      </c>
      <c r="G375" s="397" t="s">
        <v>1289</v>
      </c>
      <c r="H375" s="389" t="s">
        <v>280</v>
      </c>
      <c r="I375" s="394" t="s">
        <v>744</v>
      </c>
      <c r="J375" s="455">
        <v>7837375000150</v>
      </c>
      <c r="K375" s="390" t="str">
        <f t="shared" si="16"/>
        <v>XXX737500015XX</v>
      </c>
      <c r="L375" s="391" t="s">
        <v>1996</v>
      </c>
      <c r="M375" s="398" t="s">
        <v>708</v>
      </c>
      <c r="N375" s="399">
        <v>22026</v>
      </c>
      <c r="O375" s="399" t="s">
        <v>1188</v>
      </c>
      <c r="P375" s="398" t="s">
        <v>574</v>
      </c>
    </row>
    <row r="376" spans="1:16" s="401" customFormat="1" ht="48">
      <c r="A376" s="452">
        <f t="shared" si="15"/>
        <v>373</v>
      </c>
      <c r="B376" s="387">
        <v>46063</v>
      </c>
      <c r="C376" s="388">
        <v>46055</v>
      </c>
      <c r="D376" s="389" t="s">
        <v>353</v>
      </c>
      <c r="E376" s="398" t="s">
        <v>587</v>
      </c>
      <c r="F376" s="404">
        <v>100</v>
      </c>
      <c r="G376" s="397" t="s">
        <v>1290</v>
      </c>
      <c r="H376" s="389" t="s">
        <v>280</v>
      </c>
      <c r="I376" s="394" t="s">
        <v>744</v>
      </c>
      <c r="J376" s="455">
        <v>7837375000150</v>
      </c>
      <c r="K376" s="390" t="str">
        <f t="shared" si="16"/>
        <v>XXX737500015XX</v>
      </c>
      <c r="L376" s="391" t="s">
        <v>1996</v>
      </c>
      <c r="M376" s="398" t="s">
        <v>708</v>
      </c>
      <c r="N376" s="399">
        <v>22026</v>
      </c>
      <c r="O376" s="399" t="s">
        <v>1188</v>
      </c>
      <c r="P376" s="398" t="s">
        <v>574</v>
      </c>
    </row>
    <row r="377" spans="1:16" s="401" customFormat="1" ht="48">
      <c r="A377" s="452">
        <f t="shared" si="15"/>
        <v>374</v>
      </c>
      <c r="B377" s="387">
        <v>46063</v>
      </c>
      <c r="C377" s="388">
        <v>46055</v>
      </c>
      <c r="D377" s="389" t="s">
        <v>353</v>
      </c>
      <c r="E377" s="398" t="s">
        <v>587</v>
      </c>
      <c r="F377" s="404">
        <v>100</v>
      </c>
      <c r="G377" s="397" t="s">
        <v>1291</v>
      </c>
      <c r="H377" s="389" t="s">
        <v>280</v>
      </c>
      <c r="I377" s="394" t="s">
        <v>744</v>
      </c>
      <c r="J377" s="455">
        <v>7837375000150</v>
      </c>
      <c r="K377" s="390" t="str">
        <f t="shared" si="16"/>
        <v>XXX737500015XX</v>
      </c>
      <c r="L377" s="391" t="s">
        <v>1996</v>
      </c>
      <c r="M377" s="398" t="s">
        <v>708</v>
      </c>
      <c r="N377" s="399">
        <v>22026</v>
      </c>
      <c r="O377" s="399" t="s">
        <v>1188</v>
      </c>
      <c r="P377" s="398" t="s">
        <v>574</v>
      </c>
    </row>
    <row r="378" spans="1:16" s="401" customFormat="1" ht="48">
      <c r="A378" s="452">
        <f t="shared" si="15"/>
        <v>375</v>
      </c>
      <c r="B378" s="387">
        <v>46063</v>
      </c>
      <c r="C378" s="388">
        <v>46055</v>
      </c>
      <c r="D378" s="389" t="s">
        <v>353</v>
      </c>
      <c r="E378" s="398" t="s">
        <v>587</v>
      </c>
      <c r="F378" s="404">
        <v>100</v>
      </c>
      <c r="G378" s="397" t="s">
        <v>1292</v>
      </c>
      <c r="H378" s="389" t="s">
        <v>280</v>
      </c>
      <c r="I378" s="394" t="s">
        <v>744</v>
      </c>
      <c r="J378" s="455">
        <v>7837375000150</v>
      </c>
      <c r="K378" s="390" t="str">
        <f t="shared" si="16"/>
        <v>XXX737500015XX</v>
      </c>
      <c r="L378" s="391" t="s">
        <v>1996</v>
      </c>
      <c r="M378" s="398" t="s">
        <v>708</v>
      </c>
      <c r="N378" s="399">
        <v>22026</v>
      </c>
      <c r="O378" s="399" t="s">
        <v>1188</v>
      </c>
      <c r="P378" s="398" t="s">
        <v>574</v>
      </c>
    </row>
    <row r="379" spans="1:16" s="401" customFormat="1" ht="48">
      <c r="A379" s="452">
        <f t="shared" si="15"/>
        <v>376</v>
      </c>
      <c r="B379" s="387">
        <v>46063</v>
      </c>
      <c r="C379" s="388">
        <v>46055</v>
      </c>
      <c r="D379" s="389" t="s">
        <v>353</v>
      </c>
      <c r="E379" s="398" t="s">
        <v>587</v>
      </c>
      <c r="F379" s="404">
        <v>100</v>
      </c>
      <c r="G379" s="397" t="s">
        <v>1293</v>
      </c>
      <c r="H379" s="389" t="s">
        <v>280</v>
      </c>
      <c r="I379" s="394" t="s">
        <v>744</v>
      </c>
      <c r="J379" s="455">
        <v>7837375000150</v>
      </c>
      <c r="K379" s="390" t="str">
        <f t="shared" si="16"/>
        <v>XXX737500015XX</v>
      </c>
      <c r="L379" s="391" t="s">
        <v>1996</v>
      </c>
      <c r="M379" s="398" t="s">
        <v>708</v>
      </c>
      <c r="N379" s="399">
        <v>22026</v>
      </c>
      <c r="O379" s="399" t="s">
        <v>1188</v>
      </c>
      <c r="P379" s="398" t="s">
        <v>574</v>
      </c>
    </row>
    <row r="380" spans="1:16" s="401" customFormat="1" ht="48">
      <c r="A380" s="452">
        <f t="shared" si="15"/>
        <v>377</v>
      </c>
      <c r="B380" s="387">
        <v>46063</v>
      </c>
      <c r="C380" s="388">
        <v>46055</v>
      </c>
      <c r="D380" s="389" t="s">
        <v>353</v>
      </c>
      <c r="E380" s="398" t="s">
        <v>587</v>
      </c>
      <c r="F380" s="404">
        <v>100</v>
      </c>
      <c r="G380" s="397" t="s">
        <v>1294</v>
      </c>
      <c r="H380" s="389" t="s">
        <v>280</v>
      </c>
      <c r="I380" s="394" t="s">
        <v>744</v>
      </c>
      <c r="J380" s="455">
        <v>7837375000150</v>
      </c>
      <c r="K380" s="390" t="str">
        <f t="shared" si="16"/>
        <v>XXX737500015XX</v>
      </c>
      <c r="L380" s="391" t="s">
        <v>1996</v>
      </c>
      <c r="M380" s="398" t="s">
        <v>708</v>
      </c>
      <c r="N380" s="399">
        <v>22026</v>
      </c>
      <c r="O380" s="399" t="s">
        <v>1188</v>
      </c>
      <c r="P380" s="398" t="s">
        <v>574</v>
      </c>
    </row>
    <row r="381" spans="1:16" s="401" customFormat="1" ht="48">
      <c r="A381" s="452">
        <f t="shared" si="15"/>
        <v>378</v>
      </c>
      <c r="B381" s="387">
        <v>46063</v>
      </c>
      <c r="C381" s="388">
        <v>46055</v>
      </c>
      <c r="D381" s="389" t="s">
        <v>353</v>
      </c>
      <c r="E381" s="398" t="s">
        <v>587</v>
      </c>
      <c r="F381" s="404">
        <v>100</v>
      </c>
      <c r="G381" s="397" t="s">
        <v>1295</v>
      </c>
      <c r="H381" s="389" t="s">
        <v>280</v>
      </c>
      <c r="I381" s="394" t="s">
        <v>744</v>
      </c>
      <c r="J381" s="455">
        <v>7837375000150</v>
      </c>
      <c r="K381" s="390" t="str">
        <f t="shared" si="16"/>
        <v>XXX737500015XX</v>
      </c>
      <c r="L381" s="391" t="s">
        <v>1996</v>
      </c>
      <c r="M381" s="398" t="s">
        <v>708</v>
      </c>
      <c r="N381" s="399">
        <v>22026</v>
      </c>
      <c r="O381" s="399" t="s">
        <v>1188</v>
      </c>
      <c r="P381" s="398" t="s">
        <v>574</v>
      </c>
    </row>
    <row r="382" spans="1:16" s="401" customFormat="1" ht="48">
      <c r="A382" s="452">
        <f t="shared" si="15"/>
        <v>379</v>
      </c>
      <c r="B382" s="387">
        <v>46063</v>
      </c>
      <c r="C382" s="388">
        <v>46055</v>
      </c>
      <c r="D382" s="389" t="s">
        <v>353</v>
      </c>
      <c r="E382" s="398" t="s">
        <v>587</v>
      </c>
      <c r="F382" s="404">
        <v>100</v>
      </c>
      <c r="G382" s="397" t="s">
        <v>1296</v>
      </c>
      <c r="H382" s="389" t="s">
        <v>280</v>
      </c>
      <c r="I382" s="394" t="s">
        <v>744</v>
      </c>
      <c r="J382" s="455">
        <v>7837375000150</v>
      </c>
      <c r="K382" s="390" t="str">
        <f t="shared" si="16"/>
        <v>XXX737500015XX</v>
      </c>
      <c r="L382" s="391" t="s">
        <v>1996</v>
      </c>
      <c r="M382" s="398" t="s">
        <v>708</v>
      </c>
      <c r="N382" s="399">
        <v>22026</v>
      </c>
      <c r="O382" s="399" t="s">
        <v>1188</v>
      </c>
      <c r="P382" s="398" t="s">
        <v>574</v>
      </c>
    </row>
    <row r="383" spans="1:16" s="401" customFormat="1" ht="48">
      <c r="A383" s="452">
        <f t="shared" si="15"/>
        <v>380</v>
      </c>
      <c r="B383" s="387">
        <v>46063</v>
      </c>
      <c r="C383" s="388">
        <v>46055</v>
      </c>
      <c r="D383" s="389" t="s">
        <v>353</v>
      </c>
      <c r="E383" s="398" t="s">
        <v>587</v>
      </c>
      <c r="F383" s="404">
        <v>100</v>
      </c>
      <c r="G383" s="397" t="s">
        <v>1297</v>
      </c>
      <c r="H383" s="389" t="s">
        <v>280</v>
      </c>
      <c r="I383" s="394" t="s">
        <v>744</v>
      </c>
      <c r="J383" s="455">
        <v>7837375000150</v>
      </c>
      <c r="K383" s="390" t="str">
        <f t="shared" si="16"/>
        <v>XXX737500015XX</v>
      </c>
      <c r="L383" s="391" t="s">
        <v>1996</v>
      </c>
      <c r="M383" s="398" t="s">
        <v>708</v>
      </c>
      <c r="N383" s="399">
        <v>22026</v>
      </c>
      <c r="O383" s="399" t="s">
        <v>1188</v>
      </c>
      <c r="P383" s="398" t="s">
        <v>574</v>
      </c>
    </row>
    <row r="384" spans="1:16" s="401" customFormat="1" ht="48">
      <c r="A384" s="452">
        <f t="shared" si="15"/>
        <v>381</v>
      </c>
      <c r="B384" s="387">
        <v>46063</v>
      </c>
      <c r="C384" s="388">
        <v>46055</v>
      </c>
      <c r="D384" s="389" t="s">
        <v>353</v>
      </c>
      <c r="E384" s="398" t="s">
        <v>587</v>
      </c>
      <c r="F384" s="404">
        <v>100</v>
      </c>
      <c r="G384" s="397" t="s">
        <v>1298</v>
      </c>
      <c r="H384" s="389" t="s">
        <v>280</v>
      </c>
      <c r="I384" s="394" t="s">
        <v>744</v>
      </c>
      <c r="J384" s="455">
        <v>7837375000150</v>
      </c>
      <c r="K384" s="390" t="str">
        <f t="shared" si="16"/>
        <v>XXX737500015XX</v>
      </c>
      <c r="L384" s="391" t="s">
        <v>1996</v>
      </c>
      <c r="M384" s="398" t="s">
        <v>708</v>
      </c>
      <c r="N384" s="399">
        <v>22026</v>
      </c>
      <c r="O384" s="399" t="s">
        <v>1188</v>
      </c>
      <c r="P384" s="398" t="s">
        <v>574</v>
      </c>
    </row>
    <row r="385" spans="1:16" s="401" customFormat="1" ht="48">
      <c r="A385" s="452">
        <f t="shared" si="15"/>
        <v>382</v>
      </c>
      <c r="B385" s="387">
        <v>46063</v>
      </c>
      <c r="C385" s="388">
        <v>46055</v>
      </c>
      <c r="D385" s="389" t="s">
        <v>353</v>
      </c>
      <c r="E385" s="398" t="s">
        <v>587</v>
      </c>
      <c r="F385" s="404">
        <v>100</v>
      </c>
      <c r="G385" s="397" t="s">
        <v>1299</v>
      </c>
      <c r="H385" s="389" t="s">
        <v>280</v>
      </c>
      <c r="I385" s="394" t="s">
        <v>744</v>
      </c>
      <c r="J385" s="455">
        <v>7837375000150</v>
      </c>
      <c r="K385" s="390" t="str">
        <f t="shared" si="16"/>
        <v>XXX737500015XX</v>
      </c>
      <c r="L385" s="391" t="s">
        <v>1996</v>
      </c>
      <c r="M385" s="398" t="s">
        <v>708</v>
      </c>
      <c r="N385" s="399">
        <v>22026</v>
      </c>
      <c r="O385" s="399" t="s">
        <v>1188</v>
      </c>
      <c r="P385" s="398" t="s">
        <v>574</v>
      </c>
    </row>
    <row r="386" spans="1:16" s="401" customFormat="1" ht="48">
      <c r="A386" s="452">
        <f t="shared" si="15"/>
        <v>383</v>
      </c>
      <c r="B386" s="387">
        <v>46063</v>
      </c>
      <c r="C386" s="388">
        <v>46055</v>
      </c>
      <c r="D386" s="389" t="s">
        <v>353</v>
      </c>
      <c r="E386" s="398" t="s">
        <v>587</v>
      </c>
      <c r="F386" s="404">
        <v>100</v>
      </c>
      <c r="G386" s="397" t="s">
        <v>1300</v>
      </c>
      <c r="H386" s="389" t="s">
        <v>280</v>
      </c>
      <c r="I386" s="394" t="s">
        <v>744</v>
      </c>
      <c r="J386" s="455">
        <v>7837375000150</v>
      </c>
      <c r="K386" s="390" t="str">
        <f t="shared" si="16"/>
        <v>XXX737500015XX</v>
      </c>
      <c r="L386" s="391" t="s">
        <v>1996</v>
      </c>
      <c r="M386" s="398" t="s">
        <v>708</v>
      </c>
      <c r="N386" s="399">
        <v>22026</v>
      </c>
      <c r="O386" s="399" t="s">
        <v>1188</v>
      </c>
      <c r="P386" s="398" t="s">
        <v>574</v>
      </c>
    </row>
    <row r="387" spans="1:16" s="401" customFormat="1" ht="48">
      <c r="A387" s="452">
        <f t="shared" si="15"/>
        <v>384</v>
      </c>
      <c r="B387" s="387">
        <v>46063</v>
      </c>
      <c r="C387" s="388">
        <v>46055</v>
      </c>
      <c r="D387" s="389" t="s">
        <v>353</v>
      </c>
      <c r="E387" s="398" t="s">
        <v>587</v>
      </c>
      <c r="F387" s="404">
        <v>100</v>
      </c>
      <c r="G387" s="397" t="s">
        <v>1301</v>
      </c>
      <c r="H387" s="389" t="s">
        <v>280</v>
      </c>
      <c r="I387" s="394" t="s">
        <v>744</v>
      </c>
      <c r="J387" s="455">
        <v>7837375000150</v>
      </c>
      <c r="K387" s="390" t="str">
        <f t="shared" si="16"/>
        <v>XXX737500015XX</v>
      </c>
      <c r="L387" s="391" t="s">
        <v>1996</v>
      </c>
      <c r="M387" s="398" t="s">
        <v>708</v>
      </c>
      <c r="N387" s="399">
        <v>22026</v>
      </c>
      <c r="O387" s="399" t="s">
        <v>1188</v>
      </c>
      <c r="P387" s="398" t="s">
        <v>574</v>
      </c>
    </row>
    <row r="388" spans="1:16" s="401" customFormat="1" ht="48">
      <c r="A388" s="452">
        <f t="shared" ref="A388:A451" si="17">IF(B388="","",ROW()-ROW($A$3))</f>
        <v>385</v>
      </c>
      <c r="B388" s="387">
        <v>46063</v>
      </c>
      <c r="C388" s="388">
        <v>46055</v>
      </c>
      <c r="D388" s="389" t="s">
        <v>353</v>
      </c>
      <c r="E388" s="398" t="s">
        <v>587</v>
      </c>
      <c r="F388" s="404">
        <v>100</v>
      </c>
      <c r="G388" s="397" t="s">
        <v>1302</v>
      </c>
      <c r="H388" s="389" t="s">
        <v>280</v>
      </c>
      <c r="I388" s="394" t="s">
        <v>744</v>
      </c>
      <c r="J388" s="455">
        <v>7837375000150</v>
      </c>
      <c r="K388" s="390" t="str">
        <f t="shared" si="16"/>
        <v>XXX737500015XX</v>
      </c>
      <c r="L388" s="391" t="s">
        <v>1996</v>
      </c>
      <c r="M388" s="398" t="s">
        <v>708</v>
      </c>
      <c r="N388" s="399">
        <v>22026</v>
      </c>
      <c r="O388" s="399" t="s">
        <v>1188</v>
      </c>
      <c r="P388" s="398" t="s">
        <v>574</v>
      </c>
    </row>
    <row r="389" spans="1:16" s="401" customFormat="1" ht="48">
      <c r="A389" s="452">
        <f t="shared" si="17"/>
        <v>386</v>
      </c>
      <c r="B389" s="387">
        <v>46063</v>
      </c>
      <c r="C389" s="388">
        <v>46055</v>
      </c>
      <c r="D389" s="389" t="s">
        <v>353</v>
      </c>
      <c r="E389" s="398" t="s">
        <v>587</v>
      </c>
      <c r="F389" s="404">
        <v>100</v>
      </c>
      <c r="G389" s="397" t="s">
        <v>1303</v>
      </c>
      <c r="H389" s="389" t="s">
        <v>280</v>
      </c>
      <c r="I389" s="394" t="s">
        <v>744</v>
      </c>
      <c r="J389" s="455">
        <v>7837375000150</v>
      </c>
      <c r="K389" s="390" t="str">
        <f t="shared" si="16"/>
        <v>XXX737500015XX</v>
      </c>
      <c r="L389" s="391" t="s">
        <v>1996</v>
      </c>
      <c r="M389" s="398" t="s">
        <v>708</v>
      </c>
      <c r="N389" s="399">
        <v>22026</v>
      </c>
      <c r="O389" s="399" t="s">
        <v>1188</v>
      </c>
      <c r="P389" s="398" t="s">
        <v>574</v>
      </c>
    </row>
    <row r="390" spans="1:16" s="401" customFormat="1" ht="24">
      <c r="A390" s="452">
        <f t="shared" si="17"/>
        <v>387</v>
      </c>
      <c r="B390" s="387">
        <v>46063</v>
      </c>
      <c r="C390" s="388">
        <v>46055</v>
      </c>
      <c r="D390" s="389" t="s">
        <v>166</v>
      </c>
      <c r="E390" s="398" t="s">
        <v>583</v>
      </c>
      <c r="F390" s="404">
        <v>3041.76</v>
      </c>
      <c r="G390" s="397" t="s">
        <v>1304</v>
      </c>
      <c r="H390" s="389" t="s">
        <v>166</v>
      </c>
      <c r="I390" s="398" t="s">
        <v>1098</v>
      </c>
      <c r="J390" s="399" t="s">
        <v>1099</v>
      </c>
      <c r="K390" s="390" t="str">
        <f t="shared" si="16"/>
        <v>XXX84866648 XX</v>
      </c>
      <c r="L390" s="391" t="s">
        <v>1996</v>
      </c>
      <c r="M390" s="398" t="s">
        <v>705</v>
      </c>
      <c r="N390" s="399">
        <v>733</v>
      </c>
      <c r="O390" s="399" t="s">
        <v>1188</v>
      </c>
      <c r="P390" s="398" t="s">
        <v>573</v>
      </c>
    </row>
    <row r="391" spans="1:16" s="401" customFormat="1" ht="36">
      <c r="A391" s="452">
        <f t="shared" si="17"/>
        <v>388</v>
      </c>
      <c r="B391" s="387">
        <v>46064</v>
      </c>
      <c r="C391" s="388">
        <v>46055</v>
      </c>
      <c r="D391" s="389" t="s">
        <v>248</v>
      </c>
      <c r="E391" s="398" t="s">
        <v>590</v>
      </c>
      <c r="F391" s="404">
        <v>25069.86</v>
      </c>
      <c r="G391" s="397" t="s">
        <v>1305</v>
      </c>
      <c r="H391" s="389" t="s">
        <v>736</v>
      </c>
      <c r="I391" s="398" t="s">
        <v>1100</v>
      </c>
      <c r="J391" s="399" t="s">
        <v>773</v>
      </c>
      <c r="K391" s="390" t="str">
        <f t="shared" ref="K391:K447" si="18">IF(J391="","",IF(LEN(J391)&gt;14,IF(ISBLANK(J391),"",J391),REPLACE(REPLACE(J391,1,3,"XXX"),13,2,"XX")))</f>
        <v>XXX000000000XX</v>
      </c>
      <c r="L391" s="391" t="s">
        <v>1996</v>
      </c>
      <c r="M391" s="398" t="s">
        <v>727</v>
      </c>
      <c r="N391" s="399">
        <v>561880041</v>
      </c>
      <c r="O391" s="399" t="s">
        <v>1189</v>
      </c>
      <c r="P391" s="398" t="s">
        <v>574</v>
      </c>
    </row>
    <row r="392" spans="1:16" s="401" customFormat="1" ht="36">
      <c r="A392" s="452">
        <f t="shared" si="17"/>
        <v>389</v>
      </c>
      <c r="B392" s="387">
        <v>46064</v>
      </c>
      <c r="C392" s="388">
        <v>46055</v>
      </c>
      <c r="D392" s="389" t="s">
        <v>248</v>
      </c>
      <c r="E392" s="398" t="s">
        <v>590</v>
      </c>
      <c r="F392" s="404">
        <v>877.45</v>
      </c>
      <c r="G392" s="397" t="s">
        <v>1305</v>
      </c>
      <c r="H392" s="389" t="s">
        <v>736</v>
      </c>
      <c r="I392" s="398" t="s">
        <v>690</v>
      </c>
      <c r="J392" s="399" t="s">
        <v>691</v>
      </c>
      <c r="K392" s="390" t="str">
        <f t="shared" si="18"/>
        <v>XXX011900001XX</v>
      </c>
      <c r="L392" s="391" t="s">
        <v>1996</v>
      </c>
      <c r="M392" s="398" t="s">
        <v>1203</v>
      </c>
      <c r="N392" s="399">
        <v>561880041</v>
      </c>
      <c r="O392" s="399" t="s">
        <v>1189</v>
      </c>
      <c r="P392" s="398" t="s">
        <v>574</v>
      </c>
    </row>
    <row r="393" spans="1:16" s="401" customFormat="1" ht="48">
      <c r="A393" s="452">
        <f t="shared" si="17"/>
        <v>390</v>
      </c>
      <c r="B393" s="387">
        <v>46064</v>
      </c>
      <c r="C393" s="388">
        <v>46024</v>
      </c>
      <c r="D393" s="389" t="s">
        <v>248</v>
      </c>
      <c r="E393" s="398" t="s">
        <v>605</v>
      </c>
      <c r="F393" s="404">
        <v>1200</v>
      </c>
      <c r="G393" s="397" t="s">
        <v>1307</v>
      </c>
      <c r="H393" s="389" t="s">
        <v>278</v>
      </c>
      <c r="I393" s="398" t="s">
        <v>637</v>
      </c>
      <c r="J393" s="399" t="s">
        <v>638</v>
      </c>
      <c r="K393" s="390" t="str">
        <f t="shared" si="18"/>
        <v>XXX128340001XX</v>
      </c>
      <c r="L393" s="391" t="s">
        <v>1996</v>
      </c>
      <c r="M393" s="398" t="s">
        <v>720</v>
      </c>
      <c r="N393" s="399">
        <v>74980126</v>
      </c>
      <c r="O393" s="399" t="s">
        <v>885</v>
      </c>
      <c r="P393" s="398" t="s">
        <v>574</v>
      </c>
    </row>
    <row r="394" spans="1:16" s="401" customFormat="1" ht="48">
      <c r="A394" s="452">
        <f t="shared" si="17"/>
        <v>391</v>
      </c>
      <c r="B394" s="387">
        <v>46065</v>
      </c>
      <c r="C394" s="388">
        <v>46055</v>
      </c>
      <c r="D394" s="389" t="s">
        <v>248</v>
      </c>
      <c r="E394" s="398" t="s">
        <v>1212</v>
      </c>
      <c r="F394" s="404">
        <v>19600</v>
      </c>
      <c r="G394" s="397" t="s">
        <v>1308</v>
      </c>
      <c r="H394" s="389" t="s">
        <v>737</v>
      </c>
      <c r="I394" s="398" t="s">
        <v>1101</v>
      </c>
      <c r="J394" s="399" t="s">
        <v>1102</v>
      </c>
      <c r="K394" s="390" t="str">
        <f t="shared" si="18"/>
        <v>XXX680450001XX</v>
      </c>
      <c r="L394" s="391" t="s">
        <v>1996</v>
      </c>
      <c r="M394" s="398" t="s">
        <v>708</v>
      </c>
      <c r="N394" s="399">
        <v>292</v>
      </c>
      <c r="O394" s="399" t="s">
        <v>1190</v>
      </c>
      <c r="P394" s="398" t="s">
        <v>574</v>
      </c>
    </row>
    <row r="395" spans="1:16" s="401" customFormat="1" ht="60">
      <c r="A395" s="452">
        <f t="shared" si="17"/>
        <v>392</v>
      </c>
      <c r="B395" s="387">
        <v>46065</v>
      </c>
      <c r="C395" s="388">
        <v>46055</v>
      </c>
      <c r="D395" s="389" t="s">
        <v>248</v>
      </c>
      <c r="E395" s="395" t="s">
        <v>78</v>
      </c>
      <c r="F395" s="404">
        <v>8384.67</v>
      </c>
      <c r="G395" s="397" t="s">
        <v>1309</v>
      </c>
      <c r="H395" s="389" t="s">
        <v>1029</v>
      </c>
      <c r="I395" s="398" t="s">
        <v>658</v>
      </c>
      <c r="J395" s="399" t="s">
        <v>659</v>
      </c>
      <c r="K395" s="390" t="str">
        <f t="shared" si="18"/>
        <v>XXX694420001XX</v>
      </c>
      <c r="L395" s="391" t="s">
        <v>1996</v>
      </c>
      <c r="M395" s="398" t="s">
        <v>708</v>
      </c>
      <c r="N395" s="399">
        <v>398</v>
      </c>
      <c r="O395" s="399" t="s">
        <v>1179</v>
      </c>
      <c r="P395" s="398" t="s">
        <v>574</v>
      </c>
    </row>
    <row r="396" spans="1:16" s="401" customFormat="1" ht="36">
      <c r="A396" s="452">
        <f t="shared" si="17"/>
        <v>393</v>
      </c>
      <c r="B396" s="387">
        <v>46065</v>
      </c>
      <c r="C396" s="388">
        <v>46055</v>
      </c>
      <c r="D396" s="389" t="s">
        <v>248</v>
      </c>
      <c r="E396" s="395" t="s">
        <v>171</v>
      </c>
      <c r="F396" s="404">
        <v>8105.75</v>
      </c>
      <c r="G396" s="397" t="s">
        <v>1310</v>
      </c>
      <c r="H396" s="389" t="s">
        <v>278</v>
      </c>
      <c r="I396" s="398" t="s">
        <v>660</v>
      </c>
      <c r="J396" s="399" t="s">
        <v>661</v>
      </c>
      <c r="K396" s="390" t="str">
        <f t="shared" si="18"/>
        <v>XXX500340001XX</v>
      </c>
      <c r="L396" s="391" t="s">
        <v>1996</v>
      </c>
      <c r="M396" s="398" t="s">
        <v>707</v>
      </c>
      <c r="N396" s="399">
        <v>25</v>
      </c>
      <c r="O396" s="399" t="s">
        <v>1181</v>
      </c>
      <c r="P396" s="398" t="s">
        <v>868</v>
      </c>
    </row>
    <row r="397" spans="1:16" s="401" customFormat="1" ht="48">
      <c r="A397" s="452">
        <f t="shared" si="17"/>
        <v>394</v>
      </c>
      <c r="B397" s="387">
        <v>46065</v>
      </c>
      <c r="C397" s="388">
        <v>46055</v>
      </c>
      <c r="D397" s="389" t="s">
        <v>248</v>
      </c>
      <c r="E397" s="398" t="s">
        <v>595</v>
      </c>
      <c r="F397" s="404">
        <v>16045.5</v>
      </c>
      <c r="G397" s="397" t="s">
        <v>1311</v>
      </c>
      <c r="H397" s="392" t="s">
        <v>738</v>
      </c>
      <c r="I397" s="398" t="s">
        <v>1103</v>
      </c>
      <c r="J397" s="399" t="s">
        <v>1104</v>
      </c>
      <c r="K397" s="390" t="str">
        <f t="shared" si="18"/>
        <v>XXX443600001XX</v>
      </c>
      <c r="L397" s="391" t="s">
        <v>1996</v>
      </c>
      <c r="M397" s="398" t="s">
        <v>708</v>
      </c>
      <c r="N397" s="399">
        <v>12</v>
      </c>
      <c r="O397" s="399" t="s">
        <v>1178</v>
      </c>
      <c r="P397" s="398" t="s">
        <v>574</v>
      </c>
    </row>
    <row r="398" spans="1:16" s="401" customFormat="1" ht="72">
      <c r="A398" s="452">
        <f t="shared" si="17"/>
        <v>395</v>
      </c>
      <c r="B398" s="387">
        <v>46065</v>
      </c>
      <c r="C398" s="388">
        <v>46055</v>
      </c>
      <c r="D398" s="389" t="s">
        <v>248</v>
      </c>
      <c r="E398" s="398" t="s">
        <v>1213</v>
      </c>
      <c r="F398" s="404">
        <v>8550</v>
      </c>
      <c r="G398" s="397" t="s">
        <v>1312</v>
      </c>
      <c r="H398" s="392" t="s">
        <v>278</v>
      </c>
      <c r="I398" s="398" t="s">
        <v>1105</v>
      </c>
      <c r="J398" s="399" t="s">
        <v>1106</v>
      </c>
      <c r="K398" s="390" t="str">
        <f t="shared" si="18"/>
        <v>XXX048080001XX</v>
      </c>
      <c r="L398" s="391" t="s">
        <v>1996</v>
      </c>
      <c r="M398" s="398" t="s">
        <v>707</v>
      </c>
      <c r="N398" s="399">
        <v>29</v>
      </c>
      <c r="O398" s="399" t="s">
        <v>1178</v>
      </c>
      <c r="P398" s="398" t="s">
        <v>868</v>
      </c>
    </row>
    <row r="399" spans="1:16" s="401" customFormat="1" ht="36">
      <c r="A399" s="452">
        <f t="shared" si="17"/>
        <v>396</v>
      </c>
      <c r="B399" s="387">
        <v>46065</v>
      </c>
      <c r="C399" s="388">
        <v>46055</v>
      </c>
      <c r="D399" s="389" t="s">
        <v>248</v>
      </c>
      <c r="E399" s="398" t="s">
        <v>592</v>
      </c>
      <c r="F399" s="404">
        <v>1714.14</v>
      </c>
      <c r="G399" s="397" t="s">
        <v>1313</v>
      </c>
      <c r="H399" s="389" t="s">
        <v>737</v>
      </c>
      <c r="I399" s="398" t="s">
        <v>1107</v>
      </c>
      <c r="J399" s="399" t="s">
        <v>1108</v>
      </c>
      <c r="K399" s="390" t="str">
        <f t="shared" si="18"/>
        <v>XXX413890001XX</v>
      </c>
      <c r="L399" s="391" t="s">
        <v>1996</v>
      </c>
      <c r="M399" s="398" t="s">
        <v>708</v>
      </c>
      <c r="N399" s="399">
        <v>232</v>
      </c>
      <c r="O399" s="399" t="s">
        <v>1178</v>
      </c>
      <c r="P399" s="398" t="s">
        <v>574</v>
      </c>
    </row>
    <row r="400" spans="1:16" s="401" customFormat="1" ht="48">
      <c r="A400" s="452">
        <f t="shared" si="17"/>
        <v>397</v>
      </c>
      <c r="B400" s="387">
        <v>46065</v>
      </c>
      <c r="C400" s="388">
        <v>46055</v>
      </c>
      <c r="D400" s="389" t="s">
        <v>248</v>
      </c>
      <c r="E400" s="398" t="s">
        <v>605</v>
      </c>
      <c r="F400" s="404">
        <v>961.88</v>
      </c>
      <c r="G400" s="397" t="s">
        <v>1314</v>
      </c>
      <c r="H400" s="389" t="s">
        <v>278</v>
      </c>
      <c r="I400" s="398" t="s">
        <v>1109</v>
      </c>
      <c r="J400" s="399" t="s">
        <v>1110</v>
      </c>
      <c r="K400" s="390" t="str">
        <f t="shared" si="18"/>
        <v>XXX375260001XX</v>
      </c>
      <c r="L400" s="391" t="s">
        <v>1996</v>
      </c>
      <c r="M400" s="398" t="s">
        <v>704</v>
      </c>
      <c r="N400" s="399">
        <v>20</v>
      </c>
      <c r="O400" s="399" t="s">
        <v>1178</v>
      </c>
      <c r="P400" s="398" t="s">
        <v>574</v>
      </c>
    </row>
    <row r="401" spans="1:16" s="401" customFormat="1" ht="48">
      <c r="A401" s="452">
        <f t="shared" si="17"/>
        <v>398</v>
      </c>
      <c r="B401" s="387">
        <v>46065</v>
      </c>
      <c r="C401" s="388">
        <v>46055</v>
      </c>
      <c r="D401" s="389" t="s">
        <v>248</v>
      </c>
      <c r="E401" s="393" t="s">
        <v>164</v>
      </c>
      <c r="F401" s="404">
        <v>2207.4699999999998</v>
      </c>
      <c r="G401" s="397" t="s">
        <v>963</v>
      </c>
      <c r="H401" s="389" t="s">
        <v>278</v>
      </c>
      <c r="I401" s="398" t="s">
        <v>660</v>
      </c>
      <c r="J401" s="399" t="s">
        <v>661</v>
      </c>
      <c r="K401" s="390" t="str">
        <f t="shared" si="18"/>
        <v>XXX500340001XX</v>
      </c>
      <c r="L401" s="391" t="s">
        <v>1996</v>
      </c>
      <c r="M401" s="398" t="s">
        <v>707</v>
      </c>
      <c r="N401" s="399">
        <v>27</v>
      </c>
      <c r="O401" s="399" t="s">
        <v>1182</v>
      </c>
      <c r="P401" s="398" t="s">
        <v>868</v>
      </c>
    </row>
    <row r="402" spans="1:16" s="401" customFormat="1" ht="60">
      <c r="A402" s="452">
        <f t="shared" si="17"/>
        <v>399</v>
      </c>
      <c r="B402" s="387">
        <v>46065</v>
      </c>
      <c r="C402" s="388">
        <v>46055</v>
      </c>
      <c r="D402" s="389" t="s">
        <v>248</v>
      </c>
      <c r="E402" s="398" t="s">
        <v>608</v>
      </c>
      <c r="F402" s="404">
        <v>9.0500000000000007</v>
      </c>
      <c r="G402" s="397" t="s">
        <v>1315</v>
      </c>
      <c r="H402" s="389" t="s">
        <v>1029</v>
      </c>
      <c r="I402" s="398" t="s">
        <v>645</v>
      </c>
      <c r="J402" s="399" t="s">
        <v>646</v>
      </c>
      <c r="K402" s="390" t="str">
        <f t="shared" si="18"/>
        <v>XXX460700001XX</v>
      </c>
      <c r="L402" s="391" t="s">
        <v>1996</v>
      </c>
      <c r="M402" s="398" t="s">
        <v>708</v>
      </c>
      <c r="N402" s="399">
        <v>1122026</v>
      </c>
      <c r="O402" s="399" t="s">
        <v>1182</v>
      </c>
      <c r="P402" s="398" t="s">
        <v>574</v>
      </c>
    </row>
    <row r="403" spans="1:16" s="401" customFormat="1" ht="60">
      <c r="A403" s="452">
        <f t="shared" si="17"/>
        <v>400</v>
      </c>
      <c r="B403" s="387">
        <v>46065</v>
      </c>
      <c r="C403" s="388">
        <v>46055</v>
      </c>
      <c r="D403" s="389" t="s">
        <v>248</v>
      </c>
      <c r="E403" s="398" t="s">
        <v>608</v>
      </c>
      <c r="F403" s="404">
        <v>67.83</v>
      </c>
      <c r="G403" s="397" t="s">
        <v>1315</v>
      </c>
      <c r="H403" s="389" t="s">
        <v>1029</v>
      </c>
      <c r="I403" s="398" t="s">
        <v>645</v>
      </c>
      <c r="J403" s="399" t="s">
        <v>646</v>
      </c>
      <c r="K403" s="390" t="str">
        <f t="shared" si="18"/>
        <v>XXX460700001XX</v>
      </c>
      <c r="L403" s="391" t="s">
        <v>1996</v>
      </c>
      <c r="M403" s="398" t="s">
        <v>708</v>
      </c>
      <c r="N403" s="399">
        <v>1112026</v>
      </c>
      <c r="O403" s="399" t="s">
        <v>1182</v>
      </c>
      <c r="P403" s="398" t="s">
        <v>574</v>
      </c>
    </row>
    <row r="404" spans="1:16" s="401" customFormat="1" ht="60">
      <c r="A404" s="452">
        <f t="shared" si="17"/>
        <v>401</v>
      </c>
      <c r="B404" s="387">
        <v>46065</v>
      </c>
      <c r="C404" s="388">
        <v>46055</v>
      </c>
      <c r="D404" s="389" t="s">
        <v>248</v>
      </c>
      <c r="E404" s="398" t="s">
        <v>608</v>
      </c>
      <c r="F404" s="404">
        <v>134.35</v>
      </c>
      <c r="G404" s="397" t="s">
        <v>1315</v>
      </c>
      <c r="H404" s="389" t="s">
        <v>1029</v>
      </c>
      <c r="I404" s="398" t="s">
        <v>645</v>
      </c>
      <c r="J404" s="399" t="s">
        <v>646</v>
      </c>
      <c r="K404" s="390" t="str">
        <f t="shared" si="18"/>
        <v>XXX460700001XX</v>
      </c>
      <c r="L404" s="391" t="s">
        <v>1996</v>
      </c>
      <c r="M404" s="398" t="s">
        <v>708</v>
      </c>
      <c r="N404" s="399">
        <v>1993</v>
      </c>
      <c r="O404" s="399" t="s">
        <v>1182</v>
      </c>
      <c r="P404" s="398" t="s">
        <v>574</v>
      </c>
    </row>
    <row r="405" spans="1:16" s="401" customFormat="1" ht="48">
      <c r="A405" s="452">
        <f t="shared" si="17"/>
        <v>402</v>
      </c>
      <c r="B405" s="387">
        <v>46065</v>
      </c>
      <c r="C405" s="388">
        <v>46055</v>
      </c>
      <c r="D405" s="389" t="s">
        <v>248</v>
      </c>
      <c r="E405" s="398" t="s">
        <v>1214</v>
      </c>
      <c r="F405" s="404">
        <v>1440.9</v>
      </c>
      <c r="G405" s="397" t="s">
        <v>1316</v>
      </c>
      <c r="H405" s="389" t="s">
        <v>278</v>
      </c>
      <c r="I405" s="398" t="s">
        <v>1111</v>
      </c>
      <c r="J405" s="399" t="s">
        <v>1112</v>
      </c>
      <c r="K405" s="390" t="str">
        <f t="shared" si="18"/>
        <v>XXX214350001XX</v>
      </c>
      <c r="L405" s="391" t="s">
        <v>1996</v>
      </c>
      <c r="M405" s="398" t="s">
        <v>708</v>
      </c>
      <c r="N405" s="399">
        <v>32</v>
      </c>
      <c r="O405" s="399" t="s">
        <v>1185</v>
      </c>
      <c r="P405" s="398" t="s">
        <v>574</v>
      </c>
    </row>
    <row r="406" spans="1:16" s="401" customFormat="1" ht="36">
      <c r="A406" s="452">
        <f t="shared" si="17"/>
        <v>403</v>
      </c>
      <c r="B406" s="387">
        <v>46065</v>
      </c>
      <c r="C406" s="388">
        <v>46055</v>
      </c>
      <c r="D406" s="389" t="s">
        <v>248</v>
      </c>
      <c r="E406" s="398" t="s">
        <v>590</v>
      </c>
      <c r="F406" s="404">
        <v>4424.09</v>
      </c>
      <c r="G406" s="397" t="s">
        <v>1915</v>
      </c>
      <c r="H406" s="389" t="s">
        <v>736</v>
      </c>
      <c r="I406" s="398" t="s">
        <v>668</v>
      </c>
      <c r="J406" s="399" t="s">
        <v>669</v>
      </c>
      <c r="K406" s="390" t="str">
        <f t="shared" si="18"/>
        <v>XXX077460001XX</v>
      </c>
      <c r="L406" s="391" t="s">
        <v>1996</v>
      </c>
      <c r="M406" s="398" t="s">
        <v>1204</v>
      </c>
      <c r="N406" s="399">
        <v>561880041</v>
      </c>
      <c r="O406" s="399" t="s">
        <v>1189</v>
      </c>
      <c r="P406" s="398" t="s">
        <v>574</v>
      </c>
    </row>
    <row r="407" spans="1:16" s="401" customFormat="1" ht="48">
      <c r="A407" s="452">
        <f t="shared" si="17"/>
        <v>404</v>
      </c>
      <c r="B407" s="387">
        <v>46065</v>
      </c>
      <c r="C407" s="388">
        <v>46024</v>
      </c>
      <c r="D407" s="389" t="s">
        <v>248</v>
      </c>
      <c r="E407" s="395" t="s">
        <v>78</v>
      </c>
      <c r="F407" s="404">
        <v>3500</v>
      </c>
      <c r="G407" s="397" t="s">
        <v>1317</v>
      </c>
      <c r="H407" s="389" t="s">
        <v>278</v>
      </c>
      <c r="I407" s="398" t="s">
        <v>1113</v>
      </c>
      <c r="J407" s="399" t="s">
        <v>1114</v>
      </c>
      <c r="K407" s="390" t="str">
        <f t="shared" ref="K407" si="19">IF(J407="","",IF(LEN(J407)&gt;14,IF(ISBLANK(J407),"",J407),REPLACE(REPLACE(J407,1,3,"XXX"),13,2,"XX")))</f>
        <v>XXX440320001XX</v>
      </c>
      <c r="L407" s="391" t="s">
        <v>1996</v>
      </c>
      <c r="M407" s="398" t="s">
        <v>708</v>
      </c>
      <c r="N407" s="399">
        <v>7</v>
      </c>
      <c r="O407" s="399" t="s">
        <v>1183</v>
      </c>
      <c r="P407" s="398" t="s">
        <v>574</v>
      </c>
    </row>
    <row r="408" spans="1:16" s="401" customFormat="1" ht="36">
      <c r="A408" s="452">
        <f t="shared" si="17"/>
        <v>405</v>
      </c>
      <c r="B408" s="387">
        <v>46065</v>
      </c>
      <c r="C408" s="388">
        <v>46055</v>
      </c>
      <c r="D408" s="389" t="s">
        <v>248</v>
      </c>
      <c r="E408" s="398" t="s">
        <v>597</v>
      </c>
      <c r="F408" s="404">
        <v>519.98</v>
      </c>
      <c r="G408" s="397" t="s">
        <v>1318</v>
      </c>
      <c r="H408" s="389" t="s">
        <v>278</v>
      </c>
      <c r="I408" s="398" t="s">
        <v>1115</v>
      </c>
      <c r="J408" s="399" t="s">
        <v>1116</v>
      </c>
      <c r="K408" s="390" t="str">
        <f t="shared" si="18"/>
        <v>XXX529890001XX</v>
      </c>
      <c r="L408" s="391" t="s">
        <v>1996</v>
      </c>
      <c r="M408" s="398" t="s">
        <v>706</v>
      </c>
      <c r="N408" s="399">
        <v>2057887375</v>
      </c>
      <c r="O408" s="399" t="s">
        <v>1191</v>
      </c>
      <c r="P408" s="398" t="s">
        <v>574</v>
      </c>
    </row>
    <row r="409" spans="1:16" s="401" customFormat="1" ht="36">
      <c r="A409" s="452">
        <f t="shared" si="17"/>
        <v>406</v>
      </c>
      <c r="B409" s="387">
        <v>46065</v>
      </c>
      <c r="C409" s="388">
        <v>46055</v>
      </c>
      <c r="D409" s="389" t="s">
        <v>353</v>
      </c>
      <c r="E409" s="394" t="s">
        <v>153</v>
      </c>
      <c r="F409" s="404">
        <v>44792.9</v>
      </c>
      <c r="G409" s="397" t="s">
        <v>821</v>
      </c>
      <c r="H409" s="389" t="s">
        <v>280</v>
      </c>
      <c r="I409" s="394" t="s">
        <v>744</v>
      </c>
      <c r="J409" s="455">
        <v>7837375000150</v>
      </c>
      <c r="K409" s="390" t="str">
        <f t="shared" si="18"/>
        <v>XXX737500015XX</v>
      </c>
      <c r="L409" s="391" t="s">
        <v>1996</v>
      </c>
      <c r="M409" s="398" t="s">
        <v>706</v>
      </c>
      <c r="N409" s="399">
        <v>12022026</v>
      </c>
      <c r="O409" s="399" t="s">
        <v>1191</v>
      </c>
      <c r="P409" s="398" t="s">
        <v>574</v>
      </c>
    </row>
    <row r="410" spans="1:16" s="401" customFormat="1" ht="36">
      <c r="A410" s="452">
        <f t="shared" si="17"/>
        <v>407</v>
      </c>
      <c r="B410" s="387">
        <v>46065</v>
      </c>
      <c r="C410" s="388">
        <v>46055</v>
      </c>
      <c r="D410" s="389" t="s">
        <v>248</v>
      </c>
      <c r="E410" s="398" t="s">
        <v>1215</v>
      </c>
      <c r="F410" s="404">
        <v>902</v>
      </c>
      <c r="G410" s="397" t="s">
        <v>1319</v>
      </c>
      <c r="H410" s="389" t="s">
        <v>278</v>
      </c>
      <c r="I410" s="398" t="s">
        <v>1117</v>
      </c>
      <c r="J410" s="399" t="s">
        <v>1118</v>
      </c>
      <c r="K410" s="390" t="str">
        <f t="shared" si="18"/>
        <v>XXX26051805 XX</v>
      </c>
      <c r="L410" s="391" t="s">
        <v>1996</v>
      </c>
      <c r="M410" s="398" t="s">
        <v>708</v>
      </c>
      <c r="N410" s="399">
        <v>73953</v>
      </c>
      <c r="O410" s="399" t="s">
        <v>1188</v>
      </c>
      <c r="P410" s="398" t="s">
        <v>574</v>
      </c>
    </row>
    <row r="411" spans="1:16" s="401" customFormat="1" ht="48">
      <c r="A411" s="452">
        <f t="shared" si="17"/>
        <v>408</v>
      </c>
      <c r="B411" s="387">
        <v>46065</v>
      </c>
      <c r="C411" s="388">
        <v>46055</v>
      </c>
      <c r="D411" s="389" t="s">
        <v>353</v>
      </c>
      <c r="E411" s="398" t="s">
        <v>587</v>
      </c>
      <c r="F411" s="404">
        <v>100</v>
      </c>
      <c r="G411" s="397" t="s">
        <v>1320</v>
      </c>
      <c r="H411" s="389" t="s">
        <v>280</v>
      </c>
      <c r="I411" s="394" t="s">
        <v>744</v>
      </c>
      <c r="J411" s="455">
        <v>7837375000150</v>
      </c>
      <c r="K411" s="390" t="str">
        <f t="shared" si="18"/>
        <v>XXX737500015XX</v>
      </c>
      <c r="L411" s="391" t="s">
        <v>1996</v>
      </c>
      <c r="M411" s="398" t="s">
        <v>708</v>
      </c>
      <c r="N411" s="399">
        <v>22026</v>
      </c>
      <c r="O411" s="399" t="s">
        <v>1191</v>
      </c>
      <c r="P411" s="398" t="s">
        <v>574</v>
      </c>
    </row>
    <row r="412" spans="1:16" s="401" customFormat="1" ht="36">
      <c r="A412" s="452">
        <f t="shared" si="17"/>
        <v>409</v>
      </c>
      <c r="B412" s="387">
        <v>46065</v>
      </c>
      <c r="C412" s="388">
        <v>46024</v>
      </c>
      <c r="D412" s="389" t="s">
        <v>248</v>
      </c>
      <c r="E412" s="398" t="s">
        <v>606</v>
      </c>
      <c r="F412" s="404">
        <v>3571.43</v>
      </c>
      <c r="G412" s="397" t="s">
        <v>1321</v>
      </c>
      <c r="H412" s="389" t="s">
        <v>737</v>
      </c>
      <c r="I412" s="398" t="s">
        <v>1119</v>
      </c>
      <c r="J412" s="399" t="s">
        <v>1120</v>
      </c>
      <c r="K412" s="390" t="str">
        <f t="shared" si="18"/>
        <v>XXX07677660 XX</v>
      </c>
      <c r="L412" s="391" t="s">
        <v>1996</v>
      </c>
      <c r="M412" s="398" t="s">
        <v>708</v>
      </c>
      <c r="N412" s="399">
        <v>164</v>
      </c>
      <c r="O412" s="399" t="s">
        <v>906</v>
      </c>
      <c r="P412" s="398" t="s">
        <v>574</v>
      </c>
    </row>
    <row r="413" spans="1:16" s="401" customFormat="1" ht="36">
      <c r="A413" s="452">
        <f t="shared" si="17"/>
        <v>410</v>
      </c>
      <c r="B413" s="387">
        <v>46065</v>
      </c>
      <c r="C413" s="388">
        <v>46055</v>
      </c>
      <c r="D413" s="389" t="s">
        <v>248</v>
      </c>
      <c r="E413" s="395" t="s">
        <v>78</v>
      </c>
      <c r="F413" s="404">
        <v>1932.2</v>
      </c>
      <c r="G413" s="397" t="s">
        <v>1322</v>
      </c>
      <c r="H413" s="389" t="s">
        <v>736</v>
      </c>
      <c r="I413" s="398" t="s">
        <v>1121</v>
      </c>
      <c r="J413" s="399" t="s">
        <v>1122</v>
      </c>
      <c r="K413" s="390" t="str">
        <f t="shared" si="18"/>
        <v>XXX885700001XX</v>
      </c>
      <c r="L413" s="391" t="s">
        <v>1996</v>
      </c>
      <c r="M413" s="398" t="s">
        <v>708</v>
      </c>
      <c r="N413" s="399">
        <v>143</v>
      </c>
      <c r="O413" s="399" t="s">
        <v>1178</v>
      </c>
      <c r="P413" s="398" t="s">
        <v>574</v>
      </c>
    </row>
    <row r="414" spans="1:16" s="401" customFormat="1" ht="48">
      <c r="A414" s="452">
        <f t="shared" si="17"/>
        <v>411</v>
      </c>
      <c r="B414" s="387">
        <v>46065</v>
      </c>
      <c r="C414" s="388">
        <v>46055</v>
      </c>
      <c r="D414" s="389" t="s">
        <v>248</v>
      </c>
      <c r="E414" s="393" t="s">
        <v>164</v>
      </c>
      <c r="F414" s="404">
        <v>1050.83</v>
      </c>
      <c r="G414" s="397" t="s">
        <v>1323</v>
      </c>
      <c r="H414" s="389" t="s">
        <v>278</v>
      </c>
      <c r="I414" s="398" t="s">
        <v>1123</v>
      </c>
      <c r="J414" s="399" t="s">
        <v>1124</v>
      </c>
      <c r="K414" s="390" t="str">
        <f t="shared" si="18"/>
        <v>XXX544750001XX</v>
      </c>
      <c r="L414" s="391" t="s">
        <v>1996</v>
      </c>
      <c r="M414" s="398" t="s">
        <v>706</v>
      </c>
      <c r="N414" s="399">
        <v>2057887380</v>
      </c>
      <c r="O414" s="399" t="s">
        <v>1191</v>
      </c>
      <c r="P414" s="398" t="s">
        <v>574</v>
      </c>
    </row>
    <row r="415" spans="1:16" s="401" customFormat="1" ht="96">
      <c r="A415" s="452">
        <f t="shared" si="17"/>
        <v>412</v>
      </c>
      <c r="B415" s="387">
        <v>46065</v>
      </c>
      <c r="C415" s="388">
        <v>46055</v>
      </c>
      <c r="D415" s="389" t="s">
        <v>248</v>
      </c>
      <c r="E415" s="398" t="s">
        <v>595</v>
      </c>
      <c r="F415" s="404">
        <v>1788.95</v>
      </c>
      <c r="G415" s="397" t="s">
        <v>1324</v>
      </c>
      <c r="H415" s="389" t="s">
        <v>278</v>
      </c>
      <c r="I415" s="398" t="s">
        <v>649</v>
      </c>
      <c r="J415" s="399" t="s">
        <v>650</v>
      </c>
      <c r="K415" s="390" t="str">
        <f t="shared" si="18"/>
        <v>XXX213490001XX</v>
      </c>
      <c r="L415" s="391" t="s">
        <v>1996</v>
      </c>
      <c r="M415" s="398" t="s">
        <v>707</v>
      </c>
      <c r="N415" s="399">
        <v>494</v>
      </c>
      <c r="O415" s="399" t="s">
        <v>1178</v>
      </c>
      <c r="P415" s="398" t="s">
        <v>868</v>
      </c>
    </row>
    <row r="416" spans="1:16" s="401" customFormat="1" ht="60">
      <c r="A416" s="452">
        <f t="shared" si="17"/>
        <v>413</v>
      </c>
      <c r="B416" s="387">
        <v>46065</v>
      </c>
      <c r="C416" s="388">
        <v>46055</v>
      </c>
      <c r="D416" s="389" t="s">
        <v>248</v>
      </c>
      <c r="E416" s="398" t="s">
        <v>608</v>
      </c>
      <c r="F416" s="404">
        <v>44.8</v>
      </c>
      <c r="G416" s="397" t="s">
        <v>1315</v>
      </c>
      <c r="H416" s="389" t="s">
        <v>1029</v>
      </c>
      <c r="I416" s="398" t="s">
        <v>645</v>
      </c>
      <c r="J416" s="399" t="s">
        <v>646</v>
      </c>
      <c r="K416" s="390" t="str">
        <f t="shared" si="18"/>
        <v>XXX460700001XX</v>
      </c>
      <c r="L416" s="391" t="s">
        <v>1996</v>
      </c>
      <c r="M416" s="398" t="s">
        <v>708</v>
      </c>
      <c r="N416" s="399">
        <v>1992</v>
      </c>
      <c r="O416" s="399" t="s">
        <v>1185</v>
      </c>
      <c r="P416" s="398" t="s">
        <v>574</v>
      </c>
    </row>
    <row r="417" spans="1:16" s="401" customFormat="1" ht="36">
      <c r="A417" s="452">
        <f t="shared" si="17"/>
        <v>414</v>
      </c>
      <c r="B417" s="387">
        <v>46066</v>
      </c>
      <c r="C417" s="388">
        <v>46024</v>
      </c>
      <c r="D417" s="389" t="s">
        <v>248</v>
      </c>
      <c r="E417" s="398" t="s">
        <v>597</v>
      </c>
      <c r="F417" s="404">
        <v>4897.1000000000004</v>
      </c>
      <c r="G417" s="397" t="s">
        <v>1325</v>
      </c>
      <c r="H417" s="389" t="s">
        <v>738</v>
      </c>
      <c r="I417" s="398" t="s">
        <v>698</v>
      </c>
      <c r="J417" s="399" t="s">
        <v>699</v>
      </c>
      <c r="K417" s="390" t="str">
        <f t="shared" si="18"/>
        <v>XXX553420010XX</v>
      </c>
      <c r="L417" s="391" t="s">
        <v>1996</v>
      </c>
      <c r="M417" s="398" t="s">
        <v>708</v>
      </c>
      <c r="N417" s="399">
        <v>740306</v>
      </c>
      <c r="O417" s="399" t="s">
        <v>907</v>
      </c>
      <c r="P417" s="398" t="s">
        <v>574</v>
      </c>
    </row>
    <row r="418" spans="1:16" s="401" customFormat="1" ht="156">
      <c r="A418" s="452">
        <f t="shared" si="17"/>
        <v>415</v>
      </c>
      <c r="B418" s="387">
        <v>46066</v>
      </c>
      <c r="C418" s="388">
        <v>46024</v>
      </c>
      <c r="D418" s="389" t="s">
        <v>248</v>
      </c>
      <c r="E418" s="395" t="s">
        <v>0</v>
      </c>
      <c r="F418" s="404">
        <v>2192.4</v>
      </c>
      <c r="G418" s="397" t="s">
        <v>1326</v>
      </c>
      <c r="H418" s="389" t="s">
        <v>278</v>
      </c>
      <c r="I418" s="398" t="s">
        <v>1125</v>
      </c>
      <c r="J418" s="399" t="s">
        <v>1126</v>
      </c>
      <c r="K418" s="390" t="str">
        <f t="shared" si="18"/>
        <v>XXX128300001XX</v>
      </c>
      <c r="L418" s="391" t="s">
        <v>1996</v>
      </c>
      <c r="M418" s="398" t="s">
        <v>704</v>
      </c>
      <c r="N418" s="399">
        <v>2168</v>
      </c>
      <c r="O418" s="399" t="s">
        <v>910</v>
      </c>
      <c r="P418" s="398" t="s">
        <v>868</v>
      </c>
    </row>
    <row r="419" spans="1:16" s="401" customFormat="1" ht="36">
      <c r="A419" s="452">
        <f t="shared" si="17"/>
        <v>416</v>
      </c>
      <c r="B419" s="387">
        <v>46066</v>
      </c>
      <c r="C419" s="388">
        <v>45993</v>
      </c>
      <c r="D419" s="389" t="s">
        <v>248</v>
      </c>
      <c r="E419" s="393" t="s">
        <v>142</v>
      </c>
      <c r="F419" s="404">
        <v>132053.79999999999</v>
      </c>
      <c r="G419" s="397" t="s">
        <v>1327</v>
      </c>
      <c r="H419" s="389" t="s">
        <v>738</v>
      </c>
      <c r="I419" s="398" t="s">
        <v>653</v>
      </c>
      <c r="J419" s="399" t="s">
        <v>654</v>
      </c>
      <c r="K419" s="390" t="str">
        <f t="shared" si="18"/>
        <v>XXX682190001XX</v>
      </c>
      <c r="L419" s="391" t="s">
        <v>1996</v>
      </c>
      <c r="M419" s="398" t="s">
        <v>708</v>
      </c>
      <c r="N419" s="399">
        <v>73976</v>
      </c>
      <c r="O419" s="399" t="s">
        <v>857</v>
      </c>
      <c r="P419" s="398" t="s">
        <v>574</v>
      </c>
    </row>
    <row r="420" spans="1:16" s="401" customFormat="1" ht="36">
      <c r="A420" s="452">
        <f t="shared" si="17"/>
        <v>417</v>
      </c>
      <c r="B420" s="387">
        <v>46066</v>
      </c>
      <c r="C420" s="388">
        <v>45993</v>
      </c>
      <c r="D420" s="389" t="s">
        <v>248</v>
      </c>
      <c r="E420" s="393" t="s">
        <v>142</v>
      </c>
      <c r="F420" s="404">
        <v>53355.02</v>
      </c>
      <c r="G420" s="397" t="s">
        <v>1328</v>
      </c>
      <c r="H420" s="389" t="s">
        <v>738</v>
      </c>
      <c r="I420" s="398" t="s">
        <v>653</v>
      </c>
      <c r="J420" s="399" t="s">
        <v>654</v>
      </c>
      <c r="K420" s="390" t="str">
        <f t="shared" si="18"/>
        <v>XXX682190001XX</v>
      </c>
      <c r="L420" s="391" t="s">
        <v>1996</v>
      </c>
      <c r="M420" s="398" t="s">
        <v>708</v>
      </c>
      <c r="N420" s="399">
        <v>73976</v>
      </c>
      <c r="O420" s="399" t="s">
        <v>857</v>
      </c>
      <c r="P420" s="398" t="s">
        <v>574</v>
      </c>
    </row>
    <row r="421" spans="1:16" s="401" customFormat="1" ht="36">
      <c r="A421" s="452">
        <f t="shared" si="17"/>
        <v>418</v>
      </c>
      <c r="B421" s="387">
        <v>46066</v>
      </c>
      <c r="C421" s="388">
        <v>45993</v>
      </c>
      <c r="D421" s="389" t="s">
        <v>248</v>
      </c>
      <c r="E421" s="393" t="s">
        <v>142</v>
      </c>
      <c r="F421" s="404">
        <v>1693.98</v>
      </c>
      <c r="G421" s="397" t="s">
        <v>1329</v>
      </c>
      <c r="H421" s="389" t="s">
        <v>738</v>
      </c>
      <c r="I421" s="398" t="s">
        <v>653</v>
      </c>
      <c r="J421" s="399" t="s">
        <v>654</v>
      </c>
      <c r="K421" s="390" t="str">
        <f t="shared" si="18"/>
        <v>XXX682190001XX</v>
      </c>
      <c r="L421" s="391" t="s">
        <v>1996</v>
      </c>
      <c r="M421" s="398" t="s">
        <v>708</v>
      </c>
      <c r="N421" s="399">
        <v>73976</v>
      </c>
      <c r="O421" s="399" t="s">
        <v>857</v>
      </c>
      <c r="P421" s="398" t="s">
        <v>574</v>
      </c>
    </row>
    <row r="422" spans="1:16" s="401" customFormat="1" ht="36">
      <c r="A422" s="452">
        <f t="shared" si="17"/>
        <v>419</v>
      </c>
      <c r="B422" s="387">
        <v>46066</v>
      </c>
      <c r="C422" s="388">
        <v>45993</v>
      </c>
      <c r="D422" s="389" t="s">
        <v>248</v>
      </c>
      <c r="E422" s="393" t="s">
        <v>142</v>
      </c>
      <c r="F422" s="404">
        <v>57025.39</v>
      </c>
      <c r="G422" s="397" t="s">
        <v>1330</v>
      </c>
      <c r="H422" s="389" t="s">
        <v>738</v>
      </c>
      <c r="I422" s="398" t="s">
        <v>653</v>
      </c>
      <c r="J422" s="399" t="s">
        <v>654</v>
      </c>
      <c r="K422" s="390" t="str">
        <f t="shared" si="18"/>
        <v>XXX682190001XX</v>
      </c>
      <c r="L422" s="391" t="s">
        <v>1996</v>
      </c>
      <c r="M422" s="398" t="s">
        <v>708</v>
      </c>
      <c r="N422" s="399">
        <v>73976</v>
      </c>
      <c r="O422" s="399" t="s">
        <v>857</v>
      </c>
      <c r="P422" s="398" t="s">
        <v>574</v>
      </c>
    </row>
    <row r="423" spans="1:16" s="401" customFormat="1" ht="36">
      <c r="A423" s="452">
        <f t="shared" si="17"/>
        <v>420</v>
      </c>
      <c r="B423" s="387">
        <v>46066</v>
      </c>
      <c r="C423" s="388">
        <v>45993</v>
      </c>
      <c r="D423" s="389" t="s">
        <v>248</v>
      </c>
      <c r="E423" s="393" t="s">
        <v>142</v>
      </c>
      <c r="F423" s="404">
        <v>11631.37</v>
      </c>
      <c r="G423" s="397" t="s">
        <v>1331</v>
      </c>
      <c r="H423" s="389" t="s">
        <v>738</v>
      </c>
      <c r="I423" s="398" t="s">
        <v>653</v>
      </c>
      <c r="J423" s="399" t="s">
        <v>654</v>
      </c>
      <c r="K423" s="390" t="str">
        <f t="shared" si="18"/>
        <v>XXX682190001XX</v>
      </c>
      <c r="L423" s="391" t="s">
        <v>1996</v>
      </c>
      <c r="M423" s="398" t="s">
        <v>708</v>
      </c>
      <c r="N423" s="399">
        <v>73976</v>
      </c>
      <c r="O423" s="399" t="s">
        <v>857</v>
      </c>
      <c r="P423" s="398" t="s">
        <v>574</v>
      </c>
    </row>
    <row r="424" spans="1:16" s="401" customFormat="1" ht="48">
      <c r="A424" s="452">
        <f t="shared" si="17"/>
        <v>421</v>
      </c>
      <c r="B424" s="387">
        <v>46066</v>
      </c>
      <c r="C424" s="388">
        <v>46055</v>
      </c>
      <c r="D424" s="389" t="s">
        <v>248</v>
      </c>
      <c r="E424" s="398" t="s">
        <v>1216</v>
      </c>
      <c r="F424" s="404">
        <v>1967.44</v>
      </c>
      <c r="G424" s="397" t="s">
        <v>1332</v>
      </c>
      <c r="H424" s="389" t="s">
        <v>278</v>
      </c>
      <c r="I424" s="398" t="s">
        <v>1127</v>
      </c>
      <c r="J424" s="399" t="s">
        <v>1128</v>
      </c>
      <c r="K424" s="390" t="str">
        <f t="shared" si="18"/>
        <v>XXX254870001XX</v>
      </c>
      <c r="L424" s="391" t="s">
        <v>1996</v>
      </c>
      <c r="M424" s="398" t="s">
        <v>708</v>
      </c>
      <c r="N424" s="399">
        <v>51958</v>
      </c>
      <c r="O424" s="399" t="s">
        <v>1178</v>
      </c>
      <c r="P424" s="398" t="s">
        <v>574</v>
      </c>
    </row>
    <row r="425" spans="1:16" s="401" customFormat="1" ht="36">
      <c r="A425" s="452">
        <f t="shared" si="17"/>
        <v>422</v>
      </c>
      <c r="B425" s="387">
        <v>46071</v>
      </c>
      <c r="C425" s="388">
        <v>46024</v>
      </c>
      <c r="D425" s="389" t="s">
        <v>166</v>
      </c>
      <c r="E425" s="398" t="s">
        <v>1217</v>
      </c>
      <c r="F425" s="404">
        <v>4005.52</v>
      </c>
      <c r="G425" s="397" t="s">
        <v>1333</v>
      </c>
      <c r="H425" s="389" t="s">
        <v>166</v>
      </c>
      <c r="I425" s="398" t="s">
        <v>1129</v>
      </c>
      <c r="J425" s="399" t="s">
        <v>1130</v>
      </c>
      <c r="K425" s="390" t="str">
        <f t="shared" si="18"/>
        <v>XXX860740001XX</v>
      </c>
      <c r="L425" s="391" t="s">
        <v>1996</v>
      </c>
      <c r="M425" s="398" t="s">
        <v>704</v>
      </c>
      <c r="N425" s="399">
        <v>262924431</v>
      </c>
      <c r="O425" s="399" t="s">
        <v>905</v>
      </c>
      <c r="P425" s="398" t="s">
        <v>574</v>
      </c>
    </row>
    <row r="426" spans="1:16" s="401" customFormat="1" ht="36">
      <c r="A426" s="452">
        <f t="shared" si="17"/>
        <v>423</v>
      </c>
      <c r="B426" s="387">
        <v>46071</v>
      </c>
      <c r="C426" s="388">
        <v>46024</v>
      </c>
      <c r="D426" s="389" t="s">
        <v>248</v>
      </c>
      <c r="E426" s="398" t="s">
        <v>597</v>
      </c>
      <c r="F426" s="404">
        <v>1290</v>
      </c>
      <c r="G426" s="397" t="s">
        <v>1334</v>
      </c>
      <c r="H426" s="389" t="s">
        <v>738</v>
      </c>
      <c r="I426" s="398" t="s">
        <v>1131</v>
      </c>
      <c r="J426" s="399" t="s">
        <v>1132</v>
      </c>
      <c r="K426" s="390" t="str">
        <f t="shared" si="18"/>
        <v>XXX469700001XX</v>
      </c>
      <c r="L426" s="391" t="s">
        <v>1996</v>
      </c>
      <c r="M426" s="398" t="s">
        <v>704</v>
      </c>
      <c r="N426" s="399">
        <v>9049</v>
      </c>
      <c r="O426" s="399" t="s">
        <v>906</v>
      </c>
      <c r="P426" s="398" t="s">
        <v>574</v>
      </c>
    </row>
    <row r="427" spans="1:16" s="401" customFormat="1" ht="48">
      <c r="A427" s="452">
        <f t="shared" si="17"/>
        <v>424</v>
      </c>
      <c r="B427" s="387">
        <v>46071</v>
      </c>
      <c r="C427" s="388">
        <v>46024</v>
      </c>
      <c r="D427" s="389" t="s">
        <v>248</v>
      </c>
      <c r="E427" s="398" t="s">
        <v>592</v>
      </c>
      <c r="F427" s="404">
        <v>1942.6</v>
      </c>
      <c r="G427" s="397" t="s">
        <v>1250</v>
      </c>
      <c r="H427" s="389" t="s">
        <v>737</v>
      </c>
      <c r="I427" s="398" t="s">
        <v>1133</v>
      </c>
      <c r="J427" s="399" t="s">
        <v>1134</v>
      </c>
      <c r="K427" s="390" t="str">
        <f t="shared" si="18"/>
        <v>XXX144080001XX</v>
      </c>
      <c r="L427" s="391" t="s">
        <v>1996</v>
      </c>
      <c r="M427" s="398" t="s">
        <v>708</v>
      </c>
      <c r="N427" s="399">
        <v>384</v>
      </c>
      <c r="O427" s="399" t="s">
        <v>1183</v>
      </c>
      <c r="P427" s="398" t="s">
        <v>574</v>
      </c>
    </row>
    <row r="428" spans="1:16" s="401" customFormat="1" ht="36">
      <c r="A428" s="452">
        <f t="shared" si="17"/>
        <v>425</v>
      </c>
      <c r="B428" s="387">
        <v>46071</v>
      </c>
      <c r="C428" s="388">
        <v>46024</v>
      </c>
      <c r="D428" s="389" t="s">
        <v>166</v>
      </c>
      <c r="E428" s="398" t="s">
        <v>603</v>
      </c>
      <c r="F428" s="404">
        <v>8874.52</v>
      </c>
      <c r="G428" s="397" t="s">
        <v>1251</v>
      </c>
      <c r="H428" s="389" t="s">
        <v>166</v>
      </c>
      <c r="I428" s="398" t="s">
        <v>657</v>
      </c>
      <c r="J428" s="399" t="s">
        <v>656</v>
      </c>
      <c r="K428" s="390" t="str">
        <f t="shared" si="18"/>
        <v>XXX131780001XX</v>
      </c>
      <c r="L428" s="391" t="s">
        <v>1996</v>
      </c>
      <c r="M428" s="398" t="s">
        <v>704</v>
      </c>
      <c r="N428" s="399">
        <v>202629899</v>
      </c>
      <c r="O428" s="399" t="s">
        <v>887</v>
      </c>
      <c r="P428" s="398" t="s">
        <v>572</v>
      </c>
    </row>
    <row r="429" spans="1:16" s="401" customFormat="1" ht="36">
      <c r="A429" s="452">
        <f t="shared" si="17"/>
        <v>426</v>
      </c>
      <c r="B429" s="387">
        <v>46071</v>
      </c>
      <c r="C429" s="388">
        <v>46024</v>
      </c>
      <c r="D429" s="389" t="s">
        <v>166</v>
      </c>
      <c r="E429" s="398" t="s">
        <v>603</v>
      </c>
      <c r="F429" s="404">
        <v>114952.71</v>
      </c>
      <c r="G429" s="397" t="s">
        <v>1251</v>
      </c>
      <c r="H429" s="389" t="s">
        <v>166</v>
      </c>
      <c r="I429" s="398" t="s">
        <v>655</v>
      </c>
      <c r="J429" s="399" t="s">
        <v>656</v>
      </c>
      <c r="K429" s="390" t="str">
        <f t="shared" si="18"/>
        <v>XXX131780001XX</v>
      </c>
      <c r="L429" s="391" t="s">
        <v>1996</v>
      </c>
      <c r="M429" s="398" t="s">
        <v>704</v>
      </c>
      <c r="N429" s="399">
        <v>202677489</v>
      </c>
      <c r="O429" s="399" t="s">
        <v>899</v>
      </c>
      <c r="P429" s="398" t="s">
        <v>572</v>
      </c>
    </row>
    <row r="430" spans="1:16" s="401" customFormat="1" ht="36">
      <c r="A430" s="452">
        <f t="shared" si="17"/>
        <v>427</v>
      </c>
      <c r="B430" s="387">
        <v>46071</v>
      </c>
      <c r="C430" s="388">
        <v>46024</v>
      </c>
      <c r="D430" s="389" t="s">
        <v>248</v>
      </c>
      <c r="E430" s="398" t="s">
        <v>1218</v>
      </c>
      <c r="F430" s="404">
        <v>2424.7600000000002</v>
      </c>
      <c r="G430" s="397" t="s">
        <v>1335</v>
      </c>
      <c r="H430" s="389" t="s">
        <v>736</v>
      </c>
      <c r="I430" s="398" t="s">
        <v>1135</v>
      </c>
      <c r="J430" s="399" t="s">
        <v>1136</v>
      </c>
      <c r="K430" s="390" t="str">
        <f t="shared" si="18"/>
        <v>XXX749730001XX</v>
      </c>
      <c r="L430" s="391" t="s">
        <v>1996</v>
      </c>
      <c r="M430" s="398" t="s">
        <v>704</v>
      </c>
      <c r="N430" s="399">
        <v>9448</v>
      </c>
      <c r="O430" s="399" t="s">
        <v>910</v>
      </c>
      <c r="P430" s="398" t="s">
        <v>574</v>
      </c>
    </row>
    <row r="431" spans="1:16" s="401" customFormat="1" ht="36">
      <c r="A431" s="452">
        <f t="shared" si="17"/>
        <v>428</v>
      </c>
      <c r="B431" s="387">
        <v>46071</v>
      </c>
      <c r="C431" s="388">
        <v>46024</v>
      </c>
      <c r="D431" s="389" t="s">
        <v>248</v>
      </c>
      <c r="E431" s="398" t="s">
        <v>1218</v>
      </c>
      <c r="F431" s="404">
        <v>2389.64</v>
      </c>
      <c r="G431" s="397" t="s">
        <v>1335</v>
      </c>
      <c r="H431" s="389" t="s">
        <v>736</v>
      </c>
      <c r="I431" s="398" t="s">
        <v>1135</v>
      </c>
      <c r="J431" s="399" t="s">
        <v>1136</v>
      </c>
      <c r="K431" s="390" t="str">
        <f t="shared" si="18"/>
        <v>XXX749730001XX</v>
      </c>
      <c r="L431" s="391" t="s">
        <v>1996</v>
      </c>
      <c r="M431" s="398" t="s">
        <v>704</v>
      </c>
      <c r="N431" s="399">
        <v>9452</v>
      </c>
      <c r="O431" s="399" t="s">
        <v>910</v>
      </c>
      <c r="P431" s="398" t="s">
        <v>574</v>
      </c>
    </row>
    <row r="432" spans="1:16" s="401" customFormat="1" ht="36">
      <c r="A432" s="452">
        <f t="shared" si="17"/>
        <v>429</v>
      </c>
      <c r="B432" s="387">
        <v>46071</v>
      </c>
      <c r="C432" s="388">
        <v>46024</v>
      </c>
      <c r="D432" s="389" t="s">
        <v>248</v>
      </c>
      <c r="E432" s="398" t="s">
        <v>582</v>
      </c>
      <c r="F432" s="404">
        <v>8317.24</v>
      </c>
      <c r="G432" s="397" t="s">
        <v>1336</v>
      </c>
      <c r="H432" s="389" t="s">
        <v>737</v>
      </c>
      <c r="I432" s="398" t="s">
        <v>696</v>
      </c>
      <c r="J432" s="399" t="s">
        <v>697</v>
      </c>
      <c r="K432" s="390" t="str">
        <f t="shared" si="18"/>
        <v>XXX702470001XX</v>
      </c>
      <c r="L432" s="391" t="s">
        <v>1996</v>
      </c>
      <c r="M432" s="398" t="s">
        <v>708</v>
      </c>
      <c r="N432" s="399">
        <v>11</v>
      </c>
      <c r="O432" s="399" t="s">
        <v>910</v>
      </c>
      <c r="P432" s="398" t="s">
        <v>574</v>
      </c>
    </row>
    <row r="433" spans="1:16" s="401" customFormat="1" ht="36">
      <c r="A433" s="452">
        <f t="shared" si="17"/>
        <v>430</v>
      </c>
      <c r="B433" s="387">
        <v>46071</v>
      </c>
      <c r="C433" s="388">
        <v>46055</v>
      </c>
      <c r="D433" s="389" t="s">
        <v>248</v>
      </c>
      <c r="E433" s="393" t="s">
        <v>164</v>
      </c>
      <c r="F433" s="404">
        <v>599.62</v>
      </c>
      <c r="G433" s="397" t="s">
        <v>1337</v>
      </c>
      <c r="H433" s="389" t="s">
        <v>278</v>
      </c>
      <c r="I433" s="398" t="s">
        <v>651</v>
      </c>
      <c r="J433" s="399" t="s">
        <v>652</v>
      </c>
      <c r="K433" s="390" t="str">
        <f t="shared" si="18"/>
        <v>XXX778580001XX</v>
      </c>
      <c r="L433" s="391" t="s">
        <v>1996</v>
      </c>
      <c r="M433" s="398" t="s">
        <v>704</v>
      </c>
      <c r="N433" s="399">
        <v>519</v>
      </c>
      <c r="O433" s="399" t="s">
        <v>1180</v>
      </c>
      <c r="P433" s="398" t="s">
        <v>574</v>
      </c>
    </row>
    <row r="434" spans="1:16" s="401" customFormat="1" ht="60">
      <c r="A434" s="452">
        <f t="shared" si="17"/>
        <v>431</v>
      </c>
      <c r="B434" s="387">
        <v>46071</v>
      </c>
      <c r="C434" s="388">
        <v>46024</v>
      </c>
      <c r="D434" s="389" t="s">
        <v>248</v>
      </c>
      <c r="E434" s="398" t="s">
        <v>605</v>
      </c>
      <c r="F434" s="404">
        <v>2829.18</v>
      </c>
      <c r="G434" s="397" t="s">
        <v>1338</v>
      </c>
      <c r="H434" s="389" t="s">
        <v>278</v>
      </c>
      <c r="I434" s="398" t="s">
        <v>637</v>
      </c>
      <c r="J434" s="399" t="s">
        <v>638</v>
      </c>
      <c r="K434" s="390" t="str">
        <f t="shared" si="18"/>
        <v>XXX128340001XX</v>
      </c>
      <c r="L434" s="391" t="s">
        <v>1996</v>
      </c>
      <c r="M434" s="398" t="s">
        <v>713</v>
      </c>
      <c r="N434" s="399">
        <v>74310126</v>
      </c>
      <c r="O434" s="399" t="s">
        <v>885</v>
      </c>
      <c r="P434" s="398" t="s">
        <v>574</v>
      </c>
    </row>
    <row r="435" spans="1:16" s="401" customFormat="1" ht="72">
      <c r="A435" s="452">
        <f t="shared" si="17"/>
        <v>432</v>
      </c>
      <c r="B435" s="387">
        <v>46071</v>
      </c>
      <c r="C435" s="388">
        <v>46024</v>
      </c>
      <c r="D435" s="389" t="s">
        <v>248</v>
      </c>
      <c r="E435" s="398" t="s">
        <v>605</v>
      </c>
      <c r="F435" s="404">
        <v>196.48</v>
      </c>
      <c r="G435" s="397" t="s">
        <v>1339</v>
      </c>
      <c r="H435" s="389" t="s">
        <v>278</v>
      </c>
      <c r="I435" s="398" t="s">
        <v>637</v>
      </c>
      <c r="J435" s="399" t="s">
        <v>638</v>
      </c>
      <c r="K435" s="390" t="str">
        <f t="shared" si="18"/>
        <v>XXX128340001XX</v>
      </c>
      <c r="L435" s="391" t="s">
        <v>1996</v>
      </c>
      <c r="M435" s="398" t="s">
        <v>1205</v>
      </c>
      <c r="N435" s="399">
        <v>74310126</v>
      </c>
      <c r="O435" s="399" t="s">
        <v>885</v>
      </c>
      <c r="P435" s="398" t="s">
        <v>574</v>
      </c>
    </row>
    <row r="436" spans="1:16" s="401" customFormat="1" ht="24">
      <c r="A436" s="452">
        <f t="shared" si="17"/>
        <v>433</v>
      </c>
      <c r="B436" s="387">
        <v>46071</v>
      </c>
      <c r="C436" s="388">
        <v>46055</v>
      </c>
      <c r="D436" s="389" t="s">
        <v>166</v>
      </c>
      <c r="E436" s="398" t="s">
        <v>583</v>
      </c>
      <c r="F436" s="404">
        <v>8705.1</v>
      </c>
      <c r="G436" s="397" t="s">
        <v>1340</v>
      </c>
      <c r="H436" s="389" t="s">
        <v>166</v>
      </c>
      <c r="I436" s="398" t="s">
        <v>1137</v>
      </c>
      <c r="J436" s="399" t="s">
        <v>1138</v>
      </c>
      <c r="K436" s="390" t="str">
        <f t="shared" si="18"/>
        <v>XXX46478649 XX</v>
      </c>
      <c r="L436" s="391" t="s">
        <v>1996</v>
      </c>
      <c r="M436" s="398" t="s">
        <v>705</v>
      </c>
      <c r="N436" s="399">
        <v>733</v>
      </c>
      <c r="O436" s="399" t="s">
        <v>1188</v>
      </c>
      <c r="P436" s="398" t="s">
        <v>573</v>
      </c>
    </row>
    <row r="437" spans="1:16" s="401" customFormat="1" ht="24">
      <c r="A437" s="452">
        <f t="shared" si="17"/>
        <v>434</v>
      </c>
      <c r="B437" s="387">
        <v>46071</v>
      </c>
      <c r="C437" s="388">
        <v>46055</v>
      </c>
      <c r="D437" s="389" t="s">
        <v>166</v>
      </c>
      <c r="E437" s="398" t="s">
        <v>583</v>
      </c>
      <c r="F437" s="404">
        <v>1768.93</v>
      </c>
      <c r="G437" s="397" t="s">
        <v>1341</v>
      </c>
      <c r="H437" s="389" t="s">
        <v>166</v>
      </c>
      <c r="I437" s="398" t="s">
        <v>1139</v>
      </c>
      <c r="J437" s="399" t="s">
        <v>1140</v>
      </c>
      <c r="K437" s="390" t="str">
        <f t="shared" si="18"/>
        <v>XXX83840686 XX</v>
      </c>
      <c r="L437" s="391" t="s">
        <v>1996</v>
      </c>
      <c r="M437" s="398" t="s">
        <v>705</v>
      </c>
      <c r="N437" s="399">
        <v>733</v>
      </c>
      <c r="O437" s="399" t="s">
        <v>1188</v>
      </c>
      <c r="P437" s="398" t="s">
        <v>573</v>
      </c>
    </row>
    <row r="438" spans="1:16" s="401" customFormat="1" ht="60">
      <c r="A438" s="452">
        <f t="shared" si="17"/>
        <v>435</v>
      </c>
      <c r="B438" s="387">
        <v>46071</v>
      </c>
      <c r="C438" s="388">
        <v>46024</v>
      </c>
      <c r="D438" s="389" t="s">
        <v>248</v>
      </c>
      <c r="E438" s="398" t="s">
        <v>605</v>
      </c>
      <c r="F438" s="404">
        <v>24.64</v>
      </c>
      <c r="G438" s="397" t="s">
        <v>1342</v>
      </c>
      <c r="H438" s="389" t="s">
        <v>278</v>
      </c>
      <c r="I438" s="398" t="s">
        <v>637</v>
      </c>
      <c r="J438" s="399" t="s">
        <v>638</v>
      </c>
      <c r="K438" s="390" t="str">
        <f t="shared" si="18"/>
        <v>XXX128340001XX</v>
      </c>
      <c r="L438" s="391" t="s">
        <v>1996</v>
      </c>
      <c r="M438" s="398" t="s">
        <v>716</v>
      </c>
      <c r="N438" s="399">
        <v>74310126</v>
      </c>
      <c r="O438" s="399" t="s">
        <v>885</v>
      </c>
      <c r="P438" s="398" t="s">
        <v>573</v>
      </c>
    </row>
    <row r="439" spans="1:16" s="401" customFormat="1" ht="60">
      <c r="A439" s="452">
        <f t="shared" si="17"/>
        <v>436</v>
      </c>
      <c r="B439" s="387">
        <v>46071</v>
      </c>
      <c r="C439" s="388">
        <v>46024</v>
      </c>
      <c r="D439" s="389" t="s">
        <v>248</v>
      </c>
      <c r="E439" s="398" t="s">
        <v>605</v>
      </c>
      <c r="F439" s="404">
        <v>3367.36</v>
      </c>
      <c r="G439" s="397" t="s">
        <v>1343</v>
      </c>
      <c r="H439" s="389" t="s">
        <v>278</v>
      </c>
      <c r="I439" s="398" t="s">
        <v>637</v>
      </c>
      <c r="J439" s="399" t="s">
        <v>638</v>
      </c>
      <c r="K439" s="390" t="str">
        <f t="shared" si="18"/>
        <v>XXX128340001XX</v>
      </c>
      <c r="L439" s="391" t="s">
        <v>1996</v>
      </c>
      <c r="M439" s="398" t="s">
        <v>715</v>
      </c>
      <c r="N439" s="399">
        <v>74310226</v>
      </c>
      <c r="O439" s="399" t="s">
        <v>885</v>
      </c>
      <c r="P439" s="398" t="s">
        <v>573</v>
      </c>
    </row>
    <row r="440" spans="1:16" s="401" customFormat="1" ht="36">
      <c r="A440" s="452">
        <f t="shared" si="17"/>
        <v>437</v>
      </c>
      <c r="B440" s="387">
        <v>46071</v>
      </c>
      <c r="C440" s="388">
        <v>46024</v>
      </c>
      <c r="D440" s="389" t="s">
        <v>248</v>
      </c>
      <c r="E440" s="393" t="s">
        <v>151</v>
      </c>
      <c r="F440" s="404">
        <v>33.92</v>
      </c>
      <c r="G440" s="397" t="s">
        <v>1344</v>
      </c>
      <c r="H440" s="389" t="s">
        <v>278</v>
      </c>
      <c r="I440" s="398" t="s">
        <v>641</v>
      </c>
      <c r="J440" s="399" t="s">
        <v>642</v>
      </c>
      <c r="K440" s="390" t="str">
        <f t="shared" si="18"/>
        <v>XXX581570009XX</v>
      </c>
      <c r="L440" s="391" t="s">
        <v>1996</v>
      </c>
      <c r="M440" s="398" t="s">
        <v>717</v>
      </c>
      <c r="N440" s="399">
        <v>569966</v>
      </c>
      <c r="O440" s="399" t="s">
        <v>1192</v>
      </c>
      <c r="P440" s="398" t="s">
        <v>868</v>
      </c>
    </row>
    <row r="441" spans="1:16" s="401" customFormat="1" ht="36">
      <c r="A441" s="452">
        <f t="shared" si="17"/>
        <v>438</v>
      </c>
      <c r="B441" s="387">
        <v>46071</v>
      </c>
      <c r="C441" s="388">
        <v>46024</v>
      </c>
      <c r="D441" s="389" t="s">
        <v>248</v>
      </c>
      <c r="E441" s="393" t="s">
        <v>151</v>
      </c>
      <c r="F441" s="404">
        <v>173.98</v>
      </c>
      <c r="G441" s="397" t="s">
        <v>1344</v>
      </c>
      <c r="H441" s="389" t="s">
        <v>278</v>
      </c>
      <c r="I441" s="398" t="s">
        <v>641</v>
      </c>
      <c r="J441" s="399" t="s">
        <v>642</v>
      </c>
      <c r="K441" s="390" t="str">
        <f t="shared" si="18"/>
        <v>XXX581570009XX</v>
      </c>
      <c r="L441" s="391" t="s">
        <v>1996</v>
      </c>
      <c r="M441" s="398" t="s">
        <v>717</v>
      </c>
      <c r="N441" s="399">
        <v>569966</v>
      </c>
      <c r="O441" s="399" t="s">
        <v>1192</v>
      </c>
      <c r="P441" s="398" t="s">
        <v>868</v>
      </c>
    </row>
    <row r="442" spans="1:16" s="401" customFormat="1" ht="36">
      <c r="A442" s="452">
        <f t="shared" si="17"/>
        <v>439</v>
      </c>
      <c r="B442" s="387">
        <v>46071</v>
      </c>
      <c r="C442" s="388">
        <v>46024</v>
      </c>
      <c r="D442" s="389" t="s">
        <v>248</v>
      </c>
      <c r="E442" s="393" t="s">
        <v>151</v>
      </c>
      <c r="F442" s="404">
        <v>168.43</v>
      </c>
      <c r="G442" s="397" t="s">
        <v>1344</v>
      </c>
      <c r="H442" s="389" t="s">
        <v>278</v>
      </c>
      <c r="I442" s="398" t="s">
        <v>641</v>
      </c>
      <c r="J442" s="399" t="s">
        <v>642</v>
      </c>
      <c r="K442" s="390" t="str">
        <f t="shared" si="18"/>
        <v>XXX581570009XX</v>
      </c>
      <c r="L442" s="391" t="s">
        <v>1996</v>
      </c>
      <c r="M442" s="398" t="s">
        <v>717</v>
      </c>
      <c r="N442" s="399">
        <v>569712</v>
      </c>
      <c r="O442" s="399" t="s">
        <v>1192</v>
      </c>
      <c r="P442" s="398" t="s">
        <v>868</v>
      </c>
    </row>
    <row r="443" spans="1:16" s="401" customFormat="1" ht="36">
      <c r="A443" s="452">
        <f t="shared" si="17"/>
        <v>440</v>
      </c>
      <c r="B443" s="387">
        <v>46071</v>
      </c>
      <c r="C443" s="388">
        <v>46024</v>
      </c>
      <c r="D443" s="389" t="s">
        <v>248</v>
      </c>
      <c r="E443" s="393" t="s">
        <v>151</v>
      </c>
      <c r="F443" s="404">
        <v>863.99</v>
      </c>
      <c r="G443" s="397" t="s">
        <v>1344</v>
      </c>
      <c r="H443" s="389" t="s">
        <v>278</v>
      </c>
      <c r="I443" s="398" t="s">
        <v>641</v>
      </c>
      <c r="J443" s="399" t="s">
        <v>642</v>
      </c>
      <c r="K443" s="390" t="str">
        <f t="shared" si="18"/>
        <v>XXX581570009XX</v>
      </c>
      <c r="L443" s="391" t="s">
        <v>1996</v>
      </c>
      <c r="M443" s="398" t="s">
        <v>717</v>
      </c>
      <c r="N443" s="399">
        <v>569712</v>
      </c>
      <c r="O443" s="399" t="s">
        <v>1192</v>
      </c>
      <c r="P443" s="398" t="s">
        <v>868</v>
      </c>
    </row>
    <row r="444" spans="1:16" s="401" customFormat="1" ht="48">
      <c r="A444" s="452">
        <f t="shared" si="17"/>
        <v>441</v>
      </c>
      <c r="B444" s="387">
        <v>46072</v>
      </c>
      <c r="C444" s="388">
        <v>46055</v>
      </c>
      <c r="D444" s="389" t="s">
        <v>248</v>
      </c>
      <c r="E444" s="398" t="s">
        <v>607</v>
      </c>
      <c r="F444" s="404">
        <v>2402.81</v>
      </c>
      <c r="G444" s="397" t="s">
        <v>1345</v>
      </c>
      <c r="H444" s="389" t="s">
        <v>278</v>
      </c>
      <c r="I444" s="398" t="s">
        <v>747</v>
      </c>
      <c r="J444" s="399" t="s">
        <v>748</v>
      </c>
      <c r="K444" s="390" t="str">
        <f t="shared" si="18"/>
        <v>XXX262980001XX</v>
      </c>
      <c r="L444" s="391" t="s">
        <v>1996</v>
      </c>
      <c r="M444" s="398" t="s">
        <v>704</v>
      </c>
      <c r="N444" s="399">
        <v>676</v>
      </c>
      <c r="O444" s="399" t="s">
        <v>1193</v>
      </c>
      <c r="P444" s="398" t="s">
        <v>574</v>
      </c>
    </row>
    <row r="445" spans="1:16" s="401" customFormat="1" ht="60">
      <c r="A445" s="452">
        <f t="shared" si="17"/>
        <v>442</v>
      </c>
      <c r="B445" s="387">
        <v>46072</v>
      </c>
      <c r="C445" s="388">
        <v>45963</v>
      </c>
      <c r="D445" s="389" t="s">
        <v>248</v>
      </c>
      <c r="E445" s="398" t="s">
        <v>605</v>
      </c>
      <c r="F445" s="404">
        <v>9353.24</v>
      </c>
      <c r="G445" s="397" t="s">
        <v>1346</v>
      </c>
      <c r="H445" s="389" t="s">
        <v>278</v>
      </c>
      <c r="I445" s="398" t="s">
        <v>637</v>
      </c>
      <c r="J445" s="399" t="s">
        <v>638</v>
      </c>
      <c r="K445" s="390" t="str">
        <f t="shared" si="18"/>
        <v>XXX128340001XX</v>
      </c>
      <c r="L445" s="391" t="s">
        <v>1996</v>
      </c>
      <c r="M445" s="398" t="s">
        <v>713</v>
      </c>
      <c r="N445" s="399">
        <v>74311125</v>
      </c>
      <c r="O445" s="399" t="s">
        <v>1194</v>
      </c>
      <c r="P445" s="398" t="s">
        <v>574</v>
      </c>
    </row>
    <row r="446" spans="1:16" s="401" customFormat="1" ht="36">
      <c r="A446" s="452">
        <f t="shared" si="17"/>
        <v>443</v>
      </c>
      <c r="B446" s="387">
        <v>46072</v>
      </c>
      <c r="C446" s="388">
        <v>46055</v>
      </c>
      <c r="D446" s="389" t="s">
        <v>353</v>
      </c>
      <c r="E446" s="394" t="s">
        <v>153</v>
      </c>
      <c r="F446" s="404">
        <v>48724.95</v>
      </c>
      <c r="G446" s="397" t="s">
        <v>821</v>
      </c>
      <c r="H446" s="389" t="s">
        <v>280</v>
      </c>
      <c r="I446" s="394" t="s">
        <v>744</v>
      </c>
      <c r="J446" s="455">
        <v>7837375000150</v>
      </c>
      <c r="K446" s="390" t="str">
        <f t="shared" si="18"/>
        <v>XXX737500015XX</v>
      </c>
      <c r="L446" s="391" t="s">
        <v>1996</v>
      </c>
      <c r="M446" s="398" t="s">
        <v>1206</v>
      </c>
      <c r="N446" s="399">
        <v>19022026</v>
      </c>
      <c r="O446" s="399" t="s">
        <v>1195</v>
      </c>
      <c r="P446" s="398" t="s">
        <v>574</v>
      </c>
    </row>
    <row r="447" spans="1:16" s="401" customFormat="1" ht="48">
      <c r="A447" s="452">
        <f t="shared" si="17"/>
        <v>444</v>
      </c>
      <c r="B447" s="387">
        <v>46072</v>
      </c>
      <c r="C447" s="388">
        <v>46055</v>
      </c>
      <c r="D447" s="389" t="s">
        <v>248</v>
      </c>
      <c r="E447" s="398" t="s">
        <v>605</v>
      </c>
      <c r="F447" s="404">
        <v>125.78</v>
      </c>
      <c r="G447" s="397" t="s">
        <v>1347</v>
      </c>
      <c r="H447" s="389" t="s">
        <v>278</v>
      </c>
      <c r="I447" s="398" t="s">
        <v>882</v>
      </c>
      <c r="J447" s="399" t="s">
        <v>883</v>
      </c>
      <c r="K447" s="390" t="str">
        <f t="shared" si="18"/>
        <v>XXX559250001XX</v>
      </c>
      <c r="L447" s="391" t="s">
        <v>1996</v>
      </c>
      <c r="M447" s="398" t="s">
        <v>704</v>
      </c>
      <c r="N447" s="399">
        <v>1799</v>
      </c>
      <c r="O447" s="399" t="s">
        <v>1189</v>
      </c>
      <c r="P447" s="398" t="s">
        <v>574</v>
      </c>
    </row>
    <row r="448" spans="1:16" s="401" customFormat="1" ht="84">
      <c r="A448" s="452">
        <f t="shared" si="17"/>
        <v>445</v>
      </c>
      <c r="B448" s="387">
        <v>46073</v>
      </c>
      <c r="C448" s="388">
        <v>46024</v>
      </c>
      <c r="D448" s="389" t="s">
        <v>248</v>
      </c>
      <c r="E448" s="398" t="s">
        <v>596</v>
      </c>
      <c r="F448" s="404">
        <v>176.41</v>
      </c>
      <c r="G448" s="397" t="s">
        <v>1916</v>
      </c>
      <c r="H448" s="389" t="s">
        <v>737</v>
      </c>
      <c r="I448" s="398" t="s">
        <v>668</v>
      </c>
      <c r="J448" s="399" t="s">
        <v>669</v>
      </c>
      <c r="K448" s="390" t="str">
        <f t="shared" ref="K448:K494" si="20">IF(J448="","",IF(LEN(J448)&gt;14,IF(ISBLANK(J448),"",J448),REPLACE(REPLACE(J448,1,3,"XXX"),13,2,"XX")))</f>
        <v>XXX077460001XX</v>
      </c>
      <c r="L448" s="391" t="s">
        <v>1996</v>
      </c>
      <c r="M448" s="398" t="s">
        <v>722</v>
      </c>
      <c r="N448" s="399">
        <v>6</v>
      </c>
      <c r="O448" s="399" t="s">
        <v>900</v>
      </c>
      <c r="P448" s="398" t="s">
        <v>868</v>
      </c>
    </row>
    <row r="449" spans="1:16" s="401" customFormat="1" ht="96">
      <c r="A449" s="452">
        <f t="shared" si="17"/>
        <v>446</v>
      </c>
      <c r="B449" s="387">
        <v>46073</v>
      </c>
      <c r="C449" s="388">
        <v>46024</v>
      </c>
      <c r="D449" s="389" t="s">
        <v>248</v>
      </c>
      <c r="E449" s="398" t="s">
        <v>595</v>
      </c>
      <c r="F449" s="404">
        <v>33.68</v>
      </c>
      <c r="G449" s="397" t="s">
        <v>1917</v>
      </c>
      <c r="H449" s="389" t="s">
        <v>278</v>
      </c>
      <c r="I449" s="398" t="s">
        <v>668</v>
      </c>
      <c r="J449" s="399" t="s">
        <v>669</v>
      </c>
      <c r="K449" s="390" t="str">
        <f t="shared" si="20"/>
        <v>XXX077460001XX</v>
      </c>
      <c r="L449" s="391" t="s">
        <v>1996</v>
      </c>
      <c r="M449" s="398" t="s">
        <v>722</v>
      </c>
      <c r="N449" s="399">
        <v>341</v>
      </c>
      <c r="O449" s="399" t="s">
        <v>900</v>
      </c>
      <c r="P449" s="398" t="s">
        <v>574</v>
      </c>
    </row>
    <row r="450" spans="1:16" s="401" customFormat="1" ht="96">
      <c r="A450" s="452">
        <f t="shared" si="17"/>
        <v>447</v>
      </c>
      <c r="B450" s="387">
        <v>46073</v>
      </c>
      <c r="C450" s="388">
        <v>46024</v>
      </c>
      <c r="D450" s="389" t="s">
        <v>248</v>
      </c>
      <c r="E450" s="398" t="s">
        <v>595</v>
      </c>
      <c r="F450" s="404">
        <v>247</v>
      </c>
      <c r="G450" s="397" t="s">
        <v>1892</v>
      </c>
      <c r="H450" s="389" t="s">
        <v>278</v>
      </c>
      <c r="I450" s="398" t="s">
        <v>672</v>
      </c>
      <c r="J450" s="399" t="s">
        <v>673</v>
      </c>
      <c r="K450" s="390" t="str">
        <f t="shared" si="20"/>
        <v>XXX944600058XX</v>
      </c>
      <c r="L450" s="391" t="s">
        <v>1996</v>
      </c>
      <c r="M450" s="398" t="s">
        <v>723</v>
      </c>
      <c r="N450" s="399">
        <v>341</v>
      </c>
      <c r="O450" s="399" t="s">
        <v>900</v>
      </c>
      <c r="P450" s="398" t="s">
        <v>574</v>
      </c>
    </row>
    <row r="451" spans="1:16" s="401" customFormat="1" ht="72">
      <c r="A451" s="452">
        <f t="shared" si="17"/>
        <v>448</v>
      </c>
      <c r="B451" s="387">
        <v>46073</v>
      </c>
      <c r="C451" s="388">
        <v>46024</v>
      </c>
      <c r="D451" s="389" t="s">
        <v>248</v>
      </c>
      <c r="E451" s="395" t="s">
        <v>78</v>
      </c>
      <c r="F451" s="404">
        <v>101.02</v>
      </c>
      <c r="G451" s="397" t="s">
        <v>1918</v>
      </c>
      <c r="H451" s="389" t="s">
        <v>1029</v>
      </c>
      <c r="I451" s="398" t="s">
        <v>668</v>
      </c>
      <c r="J451" s="399" t="s">
        <v>669</v>
      </c>
      <c r="K451" s="390" t="str">
        <f t="shared" si="20"/>
        <v>XXX077460001XX</v>
      </c>
      <c r="L451" s="391" t="s">
        <v>1996</v>
      </c>
      <c r="M451" s="398" t="s">
        <v>722</v>
      </c>
      <c r="N451" s="399">
        <v>262</v>
      </c>
      <c r="O451" s="399" t="s">
        <v>886</v>
      </c>
      <c r="P451" s="398" t="s">
        <v>574</v>
      </c>
    </row>
    <row r="452" spans="1:16" s="401" customFormat="1" ht="72">
      <c r="A452" s="452">
        <f t="shared" ref="A452:A515" si="21">IF(B452="","",ROW()-ROW($A$3))</f>
        <v>449</v>
      </c>
      <c r="B452" s="387">
        <v>46073</v>
      </c>
      <c r="C452" s="388">
        <v>46024</v>
      </c>
      <c r="D452" s="389" t="s">
        <v>248</v>
      </c>
      <c r="E452" s="395" t="s">
        <v>78</v>
      </c>
      <c r="F452" s="404">
        <v>1111.31</v>
      </c>
      <c r="G452" s="397" t="s">
        <v>1893</v>
      </c>
      <c r="H452" s="389" t="s">
        <v>1029</v>
      </c>
      <c r="I452" s="398" t="s">
        <v>672</v>
      </c>
      <c r="J452" s="399" t="s">
        <v>673</v>
      </c>
      <c r="K452" s="390" t="str">
        <f t="shared" si="20"/>
        <v>XXX944600058XX</v>
      </c>
      <c r="L452" s="391" t="s">
        <v>1996</v>
      </c>
      <c r="M452" s="398" t="s">
        <v>723</v>
      </c>
      <c r="N452" s="399">
        <v>262</v>
      </c>
      <c r="O452" s="399" t="s">
        <v>886</v>
      </c>
      <c r="P452" s="398" t="s">
        <v>574</v>
      </c>
    </row>
    <row r="453" spans="1:16" s="401" customFormat="1" ht="36">
      <c r="A453" s="452">
        <f t="shared" si="21"/>
        <v>450</v>
      </c>
      <c r="B453" s="387">
        <v>46073</v>
      </c>
      <c r="C453" s="388">
        <v>45993</v>
      </c>
      <c r="D453" s="389" t="s">
        <v>166</v>
      </c>
      <c r="E453" s="398" t="s">
        <v>581</v>
      </c>
      <c r="F453" s="404">
        <v>32.07</v>
      </c>
      <c r="G453" s="397" t="s">
        <v>1873</v>
      </c>
      <c r="H453" s="389" t="s">
        <v>166</v>
      </c>
      <c r="I453" s="398" t="s">
        <v>668</v>
      </c>
      <c r="J453" s="399" t="s">
        <v>669</v>
      </c>
      <c r="K453" s="390" t="str">
        <f t="shared" si="20"/>
        <v>XXX077460001XX</v>
      </c>
      <c r="L453" s="391" t="s">
        <v>1996</v>
      </c>
      <c r="M453" s="398" t="s">
        <v>721</v>
      </c>
      <c r="N453" s="399">
        <v>2220</v>
      </c>
      <c r="O453" s="399" t="s">
        <v>846</v>
      </c>
      <c r="P453" s="398" t="s">
        <v>574</v>
      </c>
    </row>
    <row r="454" spans="1:16" s="401" customFormat="1" ht="36">
      <c r="A454" s="452">
        <f t="shared" si="21"/>
        <v>451</v>
      </c>
      <c r="B454" s="387">
        <v>46073</v>
      </c>
      <c r="C454" s="388">
        <v>45993</v>
      </c>
      <c r="D454" s="389" t="s">
        <v>166</v>
      </c>
      <c r="E454" s="398" t="s">
        <v>581</v>
      </c>
      <c r="F454" s="404">
        <v>27.45</v>
      </c>
      <c r="G454" s="397" t="s">
        <v>1873</v>
      </c>
      <c r="H454" s="389" t="s">
        <v>166</v>
      </c>
      <c r="I454" s="398" t="s">
        <v>668</v>
      </c>
      <c r="J454" s="399" t="s">
        <v>669</v>
      </c>
      <c r="K454" s="390" t="str">
        <f t="shared" si="20"/>
        <v>XXX077460001XX</v>
      </c>
      <c r="L454" s="391" t="s">
        <v>1996</v>
      </c>
      <c r="M454" s="398" t="s">
        <v>721</v>
      </c>
      <c r="N454" s="399">
        <v>2221</v>
      </c>
      <c r="O454" s="399" t="s">
        <v>846</v>
      </c>
      <c r="P454" s="398" t="s">
        <v>574</v>
      </c>
    </row>
    <row r="455" spans="1:16" s="401" customFormat="1" ht="36">
      <c r="A455" s="452">
        <f t="shared" si="21"/>
        <v>452</v>
      </c>
      <c r="B455" s="387">
        <v>46073</v>
      </c>
      <c r="C455" s="388">
        <v>45993</v>
      </c>
      <c r="D455" s="389" t="s">
        <v>166</v>
      </c>
      <c r="E455" s="398" t="s">
        <v>603</v>
      </c>
      <c r="F455" s="404">
        <v>202.36</v>
      </c>
      <c r="G455" s="397" t="s">
        <v>1873</v>
      </c>
      <c r="H455" s="389" t="s">
        <v>166</v>
      </c>
      <c r="I455" s="398" t="s">
        <v>668</v>
      </c>
      <c r="J455" s="399" t="s">
        <v>669</v>
      </c>
      <c r="K455" s="390" t="str">
        <f t="shared" si="20"/>
        <v>XXX077460001XX</v>
      </c>
      <c r="L455" s="391" t="s">
        <v>1996</v>
      </c>
      <c r="M455" s="398" t="s">
        <v>721</v>
      </c>
      <c r="N455" s="399">
        <v>2025942615</v>
      </c>
      <c r="O455" s="399" t="s">
        <v>835</v>
      </c>
      <c r="P455" s="398" t="s">
        <v>572</v>
      </c>
    </row>
    <row r="456" spans="1:16" s="401" customFormat="1" ht="48">
      <c r="A456" s="452">
        <f t="shared" si="21"/>
        <v>453</v>
      </c>
      <c r="B456" s="387">
        <v>46073</v>
      </c>
      <c r="C456" s="388">
        <v>46024</v>
      </c>
      <c r="D456" s="389" t="s">
        <v>248</v>
      </c>
      <c r="E456" s="398" t="s">
        <v>602</v>
      </c>
      <c r="F456" s="404">
        <v>41.25</v>
      </c>
      <c r="G456" s="397" t="s">
        <v>1919</v>
      </c>
      <c r="H456" s="389" t="s">
        <v>278</v>
      </c>
      <c r="I456" s="398" t="s">
        <v>668</v>
      </c>
      <c r="J456" s="399" t="s">
        <v>669</v>
      </c>
      <c r="K456" s="390" t="str">
        <f t="shared" si="20"/>
        <v>XXX077460001XX</v>
      </c>
      <c r="L456" s="391" t="s">
        <v>1996</v>
      </c>
      <c r="M456" s="398" t="s">
        <v>722</v>
      </c>
      <c r="N456" s="399">
        <v>65</v>
      </c>
      <c r="O456" s="399" t="s">
        <v>905</v>
      </c>
      <c r="P456" s="398" t="s">
        <v>574</v>
      </c>
    </row>
    <row r="457" spans="1:16" s="401" customFormat="1" ht="48">
      <c r="A457" s="452">
        <f t="shared" si="21"/>
        <v>454</v>
      </c>
      <c r="B457" s="387">
        <v>46073</v>
      </c>
      <c r="C457" s="388">
        <v>46024</v>
      </c>
      <c r="D457" s="389" t="s">
        <v>248</v>
      </c>
      <c r="E457" s="395" t="s">
        <v>78</v>
      </c>
      <c r="F457" s="404">
        <v>13.2</v>
      </c>
      <c r="G457" s="397" t="s">
        <v>1920</v>
      </c>
      <c r="H457" s="389" t="s">
        <v>278</v>
      </c>
      <c r="I457" s="398" t="s">
        <v>668</v>
      </c>
      <c r="J457" s="399" t="s">
        <v>669</v>
      </c>
      <c r="K457" s="390" t="str">
        <f t="shared" si="20"/>
        <v>XXX077460001XX</v>
      </c>
      <c r="L457" s="391" t="s">
        <v>1996</v>
      </c>
      <c r="M457" s="398" t="s">
        <v>722</v>
      </c>
      <c r="N457" s="399">
        <v>11</v>
      </c>
      <c r="O457" s="399" t="s">
        <v>907</v>
      </c>
      <c r="P457" s="398" t="s">
        <v>574</v>
      </c>
    </row>
    <row r="458" spans="1:16" s="401" customFormat="1" ht="48">
      <c r="A458" s="452">
        <f t="shared" si="21"/>
        <v>455</v>
      </c>
      <c r="B458" s="387">
        <v>46073</v>
      </c>
      <c r="C458" s="388">
        <v>46024</v>
      </c>
      <c r="D458" s="389" t="s">
        <v>248</v>
      </c>
      <c r="E458" s="395" t="s">
        <v>78</v>
      </c>
      <c r="F458" s="404">
        <v>145.19999999999999</v>
      </c>
      <c r="G458" s="397" t="s">
        <v>1894</v>
      </c>
      <c r="H458" s="389" t="s">
        <v>278</v>
      </c>
      <c r="I458" s="398" t="s">
        <v>672</v>
      </c>
      <c r="J458" s="399" t="s">
        <v>673</v>
      </c>
      <c r="K458" s="390" t="str">
        <f t="shared" si="20"/>
        <v>XXX944600058XX</v>
      </c>
      <c r="L458" s="391" t="s">
        <v>1996</v>
      </c>
      <c r="M458" s="398" t="s">
        <v>723</v>
      </c>
      <c r="N458" s="399">
        <v>11</v>
      </c>
      <c r="O458" s="399" t="s">
        <v>907</v>
      </c>
      <c r="P458" s="398" t="s">
        <v>574</v>
      </c>
    </row>
    <row r="459" spans="1:16" s="401" customFormat="1" ht="36">
      <c r="A459" s="452">
        <f t="shared" si="21"/>
        <v>456</v>
      </c>
      <c r="B459" s="387">
        <v>46073</v>
      </c>
      <c r="C459" s="388">
        <v>46024</v>
      </c>
      <c r="D459" s="389" t="s">
        <v>166</v>
      </c>
      <c r="E459" s="398" t="s">
        <v>581</v>
      </c>
      <c r="F459" s="404">
        <v>10.47</v>
      </c>
      <c r="G459" s="397" t="s">
        <v>1921</v>
      </c>
      <c r="H459" s="389" t="s">
        <v>166</v>
      </c>
      <c r="I459" s="398" t="s">
        <v>668</v>
      </c>
      <c r="J459" s="399" t="s">
        <v>669</v>
      </c>
      <c r="K459" s="390" t="str">
        <f t="shared" si="20"/>
        <v>XXX077460001XX</v>
      </c>
      <c r="L459" s="391" t="s">
        <v>1996</v>
      </c>
      <c r="M459" s="398" t="s">
        <v>722</v>
      </c>
      <c r="N459" s="399">
        <v>3687</v>
      </c>
      <c r="O459" s="399" t="s">
        <v>907</v>
      </c>
      <c r="P459" s="398" t="s">
        <v>574</v>
      </c>
    </row>
    <row r="460" spans="1:16" s="401" customFormat="1" ht="36">
      <c r="A460" s="452">
        <f t="shared" si="21"/>
        <v>457</v>
      </c>
      <c r="B460" s="387">
        <v>46073</v>
      </c>
      <c r="C460" s="388">
        <v>46024</v>
      </c>
      <c r="D460" s="389" t="s">
        <v>166</v>
      </c>
      <c r="E460" s="398" t="s">
        <v>603</v>
      </c>
      <c r="F460" s="404">
        <v>69.569999999999993</v>
      </c>
      <c r="G460" s="397" t="s">
        <v>1922</v>
      </c>
      <c r="H460" s="389" t="s">
        <v>166</v>
      </c>
      <c r="I460" s="398" t="s">
        <v>668</v>
      </c>
      <c r="J460" s="399" t="s">
        <v>669</v>
      </c>
      <c r="K460" s="390" t="str">
        <f t="shared" si="20"/>
        <v>XXX077460001XX</v>
      </c>
      <c r="L460" s="391" t="s">
        <v>1996</v>
      </c>
      <c r="M460" s="398" t="s">
        <v>724</v>
      </c>
      <c r="N460" s="399">
        <v>202629899</v>
      </c>
      <c r="O460" s="399" t="s">
        <v>887</v>
      </c>
      <c r="P460" s="398" t="s">
        <v>572</v>
      </c>
    </row>
    <row r="461" spans="1:16" s="401" customFormat="1" ht="36">
      <c r="A461" s="452">
        <f t="shared" si="21"/>
        <v>458</v>
      </c>
      <c r="B461" s="387">
        <v>46073</v>
      </c>
      <c r="C461" s="388">
        <v>46024</v>
      </c>
      <c r="D461" s="389" t="s">
        <v>248</v>
      </c>
      <c r="E461" s="398" t="s">
        <v>758</v>
      </c>
      <c r="F461" s="404">
        <v>966.89</v>
      </c>
      <c r="G461" s="397" t="s">
        <v>1923</v>
      </c>
      <c r="H461" s="389" t="s">
        <v>738</v>
      </c>
      <c r="I461" s="398" t="s">
        <v>668</v>
      </c>
      <c r="J461" s="399" t="s">
        <v>669</v>
      </c>
      <c r="K461" s="390" t="str">
        <f t="shared" si="20"/>
        <v>XXX077460001XX</v>
      </c>
      <c r="L461" s="391" t="s">
        <v>1996</v>
      </c>
      <c r="M461" s="398" t="s">
        <v>722</v>
      </c>
      <c r="N461" s="399">
        <v>93</v>
      </c>
      <c r="O461" s="399" t="s">
        <v>899</v>
      </c>
      <c r="P461" s="398" t="s">
        <v>574</v>
      </c>
    </row>
    <row r="462" spans="1:16" s="401" customFormat="1" ht="36">
      <c r="A462" s="452">
        <f t="shared" si="21"/>
        <v>459</v>
      </c>
      <c r="B462" s="387">
        <v>46073</v>
      </c>
      <c r="C462" s="388">
        <v>46024</v>
      </c>
      <c r="D462" s="389" t="s">
        <v>248</v>
      </c>
      <c r="E462" s="398" t="s">
        <v>758</v>
      </c>
      <c r="F462" s="404">
        <v>10635.79</v>
      </c>
      <c r="G462" s="397" t="s">
        <v>1895</v>
      </c>
      <c r="H462" s="389" t="s">
        <v>738</v>
      </c>
      <c r="I462" s="398" t="s">
        <v>672</v>
      </c>
      <c r="J462" s="399" t="s">
        <v>673</v>
      </c>
      <c r="K462" s="390" t="str">
        <f t="shared" si="20"/>
        <v>XXX944600058XX</v>
      </c>
      <c r="L462" s="391" t="s">
        <v>1996</v>
      </c>
      <c r="M462" s="398" t="s">
        <v>723</v>
      </c>
      <c r="N462" s="399">
        <v>93</v>
      </c>
      <c r="O462" s="399" t="s">
        <v>899</v>
      </c>
      <c r="P462" s="398" t="s">
        <v>574</v>
      </c>
    </row>
    <row r="463" spans="1:16" s="401" customFormat="1" ht="60">
      <c r="A463" s="452">
        <f t="shared" si="21"/>
        <v>460</v>
      </c>
      <c r="B463" s="387">
        <v>46073</v>
      </c>
      <c r="C463" s="388">
        <v>46024</v>
      </c>
      <c r="D463" s="389" t="s">
        <v>248</v>
      </c>
      <c r="E463" s="398" t="s">
        <v>610</v>
      </c>
      <c r="F463" s="404">
        <v>9566.35</v>
      </c>
      <c r="G463" s="397" t="s">
        <v>1348</v>
      </c>
      <c r="H463" s="389" t="s">
        <v>736</v>
      </c>
      <c r="I463" s="398" t="s">
        <v>686</v>
      </c>
      <c r="J463" s="399" t="s">
        <v>687</v>
      </c>
      <c r="K463" s="390" t="str">
        <f t="shared" si="20"/>
        <v>XXX900500001XX</v>
      </c>
      <c r="L463" s="391" t="s">
        <v>1996</v>
      </c>
      <c r="M463" s="398" t="s">
        <v>719</v>
      </c>
      <c r="N463" s="399">
        <v>37120</v>
      </c>
      <c r="O463" s="399" t="s">
        <v>1177</v>
      </c>
      <c r="P463" s="398" t="s">
        <v>868</v>
      </c>
    </row>
    <row r="464" spans="1:16" s="401" customFormat="1" ht="36">
      <c r="A464" s="452">
        <f t="shared" si="21"/>
        <v>461</v>
      </c>
      <c r="B464" s="387">
        <v>46073</v>
      </c>
      <c r="C464" s="388">
        <v>46024</v>
      </c>
      <c r="D464" s="389" t="s">
        <v>248</v>
      </c>
      <c r="E464" s="398" t="s">
        <v>590</v>
      </c>
      <c r="F464" s="404">
        <v>228.3</v>
      </c>
      <c r="G464" s="397" t="s">
        <v>1349</v>
      </c>
      <c r="H464" s="389" t="s">
        <v>736</v>
      </c>
      <c r="I464" s="398" t="s">
        <v>670</v>
      </c>
      <c r="J464" s="399" t="s">
        <v>1141</v>
      </c>
      <c r="K464" s="390" t="str">
        <f t="shared" si="20"/>
        <v>XXX902520001XX</v>
      </c>
      <c r="L464" s="391" t="s">
        <v>1996</v>
      </c>
      <c r="M464" s="398" t="s">
        <v>704</v>
      </c>
      <c r="N464" s="399">
        <v>236282</v>
      </c>
      <c r="O464" s="399" t="s">
        <v>894</v>
      </c>
      <c r="P464" s="398" t="s">
        <v>574</v>
      </c>
    </row>
    <row r="465" spans="1:16" s="401" customFormat="1" ht="36">
      <c r="A465" s="452">
        <f t="shared" si="21"/>
        <v>462</v>
      </c>
      <c r="B465" s="387">
        <v>46073</v>
      </c>
      <c r="C465" s="388">
        <v>46024</v>
      </c>
      <c r="D465" s="389" t="s">
        <v>248</v>
      </c>
      <c r="E465" s="395" t="s">
        <v>477</v>
      </c>
      <c r="F465" s="404">
        <v>39.64</v>
      </c>
      <c r="G465" s="397" t="s">
        <v>1924</v>
      </c>
      <c r="H465" s="389" t="s">
        <v>738</v>
      </c>
      <c r="I465" s="398" t="s">
        <v>668</v>
      </c>
      <c r="J465" s="399" t="s">
        <v>669</v>
      </c>
      <c r="K465" s="390" t="str">
        <f t="shared" si="20"/>
        <v>XXX077460001XX</v>
      </c>
      <c r="L465" s="391" t="s">
        <v>1996</v>
      </c>
      <c r="M465" s="398" t="s">
        <v>722</v>
      </c>
      <c r="N465" s="399">
        <v>233</v>
      </c>
      <c r="O465" s="399" t="s">
        <v>904</v>
      </c>
      <c r="P465" s="398" t="s">
        <v>868</v>
      </c>
    </row>
    <row r="466" spans="1:16" s="401" customFormat="1" ht="96">
      <c r="A466" s="452">
        <f t="shared" si="21"/>
        <v>463</v>
      </c>
      <c r="B466" s="387">
        <v>46073</v>
      </c>
      <c r="C466" s="388">
        <v>46055</v>
      </c>
      <c r="D466" s="389" t="s">
        <v>248</v>
      </c>
      <c r="E466" s="393" t="s">
        <v>164</v>
      </c>
      <c r="F466" s="404">
        <v>8145.84</v>
      </c>
      <c r="G466" s="397" t="s">
        <v>1350</v>
      </c>
      <c r="H466" s="389" t="s">
        <v>278</v>
      </c>
      <c r="I466" s="398" t="s">
        <v>678</v>
      </c>
      <c r="J466" s="399" t="s">
        <v>679</v>
      </c>
      <c r="K466" s="390" t="str">
        <f t="shared" si="20"/>
        <v>XXX140620001XX</v>
      </c>
      <c r="L466" s="391" t="s">
        <v>1996</v>
      </c>
      <c r="M466" s="398" t="s">
        <v>704</v>
      </c>
      <c r="N466" s="399">
        <v>6865</v>
      </c>
      <c r="O466" s="399" t="s">
        <v>1181</v>
      </c>
      <c r="P466" s="398" t="s">
        <v>574</v>
      </c>
    </row>
    <row r="467" spans="1:16" s="401" customFormat="1" ht="72">
      <c r="A467" s="452">
        <f t="shared" si="21"/>
        <v>464</v>
      </c>
      <c r="B467" s="387">
        <v>46073</v>
      </c>
      <c r="C467" s="388">
        <v>46055</v>
      </c>
      <c r="D467" s="389" t="s">
        <v>248</v>
      </c>
      <c r="E467" s="398" t="s">
        <v>600</v>
      </c>
      <c r="F467" s="404">
        <v>3207.6</v>
      </c>
      <c r="G467" s="397" t="s">
        <v>1351</v>
      </c>
      <c r="H467" s="389" t="s">
        <v>737</v>
      </c>
      <c r="I467" s="398" t="s">
        <v>1142</v>
      </c>
      <c r="J467" s="399" t="s">
        <v>1143</v>
      </c>
      <c r="K467" s="390" t="str">
        <f t="shared" si="20"/>
        <v>XXX410700001XX</v>
      </c>
      <c r="L467" s="391" t="s">
        <v>1996</v>
      </c>
      <c r="M467" s="398" t="s">
        <v>708</v>
      </c>
      <c r="N467" s="399">
        <v>30</v>
      </c>
      <c r="O467" s="399" t="s">
        <v>1185</v>
      </c>
      <c r="P467" s="398" t="s">
        <v>574</v>
      </c>
    </row>
    <row r="468" spans="1:16" s="401" customFormat="1" ht="108">
      <c r="A468" s="452">
        <f t="shared" si="21"/>
        <v>465</v>
      </c>
      <c r="B468" s="387">
        <v>46073</v>
      </c>
      <c r="C468" s="388">
        <v>46055</v>
      </c>
      <c r="D468" s="389" t="s">
        <v>248</v>
      </c>
      <c r="E468" s="393" t="s">
        <v>164</v>
      </c>
      <c r="F468" s="404">
        <v>2347.92</v>
      </c>
      <c r="G468" s="397" t="s">
        <v>1352</v>
      </c>
      <c r="H468" s="389" t="s">
        <v>737</v>
      </c>
      <c r="I468" s="398" t="s">
        <v>1144</v>
      </c>
      <c r="J468" s="399" t="s">
        <v>1145</v>
      </c>
      <c r="K468" s="390" t="str">
        <f t="shared" si="20"/>
        <v>XXX639520001XX</v>
      </c>
      <c r="L468" s="391" t="s">
        <v>1996</v>
      </c>
      <c r="M468" s="398" t="s">
        <v>708</v>
      </c>
      <c r="N468" s="399">
        <v>11</v>
      </c>
      <c r="O468" s="399" t="s">
        <v>1185</v>
      </c>
      <c r="P468" s="398" t="s">
        <v>574</v>
      </c>
    </row>
    <row r="469" spans="1:16" s="401" customFormat="1" ht="60">
      <c r="A469" s="452">
        <f t="shared" si="21"/>
        <v>466</v>
      </c>
      <c r="B469" s="387">
        <v>46073</v>
      </c>
      <c r="C469" s="388">
        <v>46055</v>
      </c>
      <c r="D469" s="389" t="s">
        <v>248</v>
      </c>
      <c r="E469" s="398" t="s">
        <v>610</v>
      </c>
      <c r="F469" s="404">
        <v>6747.41</v>
      </c>
      <c r="G469" s="397" t="s">
        <v>1353</v>
      </c>
      <c r="H469" s="389" t="s">
        <v>736</v>
      </c>
      <c r="I469" s="398" t="s">
        <v>686</v>
      </c>
      <c r="J469" s="399" t="s">
        <v>687</v>
      </c>
      <c r="K469" s="390" t="str">
        <f t="shared" si="20"/>
        <v>XXX900500001XX</v>
      </c>
      <c r="L469" s="391" t="s">
        <v>1996</v>
      </c>
      <c r="M469" s="398" t="s">
        <v>719</v>
      </c>
      <c r="N469" s="399">
        <v>37162</v>
      </c>
      <c r="O469" s="399" t="s">
        <v>1188</v>
      </c>
      <c r="P469" s="398" t="s">
        <v>868</v>
      </c>
    </row>
    <row r="470" spans="1:16" s="401" customFormat="1" ht="36">
      <c r="A470" s="452">
        <f t="shared" si="21"/>
        <v>467</v>
      </c>
      <c r="B470" s="387">
        <v>46073</v>
      </c>
      <c r="C470" s="388">
        <v>46055</v>
      </c>
      <c r="D470" s="396" t="s">
        <v>132</v>
      </c>
      <c r="E470" s="396" t="s">
        <v>218</v>
      </c>
      <c r="F470" s="404">
        <v>2188</v>
      </c>
      <c r="G470" s="397" t="s">
        <v>1306</v>
      </c>
      <c r="H470" s="389" t="s">
        <v>278</v>
      </c>
      <c r="I470" s="398" t="s">
        <v>795</v>
      </c>
      <c r="J470" s="399" t="s">
        <v>796</v>
      </c>
      <c r="K470" s="390" t="str">
        <f t="shared" si="20"/>
        <v>XXX499450001XX</v>
      </c>
      <c r="L470" s="391" t="s">
        <v>1996</v>
      </c>
      <c r="M470" s="398" t="s">
        <v>708</v>
      </c>
      <c r="N470" s="399">
        <v>2799</v>
      </c>
      <c r="O470" s="399" t="s">
        <v>1189</v>
      </c>
      <c r="P470" s="398" t="s">
        <v>574</v>
      </c>
    </row>
    <row r="471" spans="1:16" s="401" customFormat="1" ht="36">
      <c r="A471" s="452">
        <f t="shared" si="21"/>
        <v>468</v>
      </c>
      <c r="B471" s="387">
        <v>46073</v>
      </c>
      <c r="C471" s="388">
        <v>46055</v>
      </c>
      <c r="D471" s="389" t="s">
        <v>248</v>
      </c>
      <c r="E471" s="395" t="s">
        <v>171</v>
      </c>
      <c r="F471" s="404">
        <v>940.5</v>
      </c>
      <c r="G471" s="397" t="s">
        <v>1354</v>
      </c>
      <c r="H471" s="389" t="s">
        <v>278</v>
      </c>
      <c r="I471" s="398" t="s">
        <v>676</v>
      </c>
      <c r="J471" s="399" t="s">
        <v>677</v>
      </c>
      <c r="K471" s="390" t="str">
        <f t="shared" si="20"/>
        <v>XXX432920001XX</v>
      </c>
      <c r="L471" s="391" t="s">
        <v>1996</v>
      </c>
      <c r="M471" s="398" t="s">
        <v>704</v>
      </c>
      <c r="N471" s="399">
        <v>167</v>
      </c>
      <c r="O471" s="399" t="s">
        <v>1189</v>
      </c>
      <c r="P471" s="398" t="s">
        <v>574</v>
      </c>
    </row>
    <row r="472" spans="1:16" s="401" customFormat="1" ht="72">
      <c r="A472" s="452">
        <f t="shared" si="21"/>
        <v>469</v>
      </c>
      <c r="B472" s="387">
        <v>46073</v>
      </c>
      <c r="C472" s="388">
        <v>46055</v>
      </c>
      <c r="D472" s="389" t="s">
        <v>248</v>
      </c>
      <c r="E472" s="398" t="s">
        <v>610</v>
      </c>
      <c r="F472" s="404">
        <v>1683.14</v>
      </c>
      <c r="G472" s="397" t="s">
        <v>1355</v>
      </c>
      <c r="H472" s="389" t="s">
        <v>736</v>
      </c>
      <c r="I472" s="398" t="s">
        <v>686</v>
      </c>
      <c r="J472" s="399" t="s">
        <v>687</v>
      </c>
      <c r="K472" s="390" t="str">
        <f t="shared" si="20"/>
        <v>XXX900500001XX</v>
      </c>
      <c r="L472" s="391" t="s">
        <v>1996</v>
      </c>
      <c r="M472" s="398" t="s">
        <v>719</v>
      </c>
      <c r="N472" s="399">
        <v>37164</v>
      </c>
      <c r="O472" s="399" t="s">
        <v>1189</v>
      </c>
      <c r="P472" s="398" t="s">
        <v>868</v>
      </c>
    </row>
    <row r="473" spans="1:16" s="401" customFormat="1" ht="36">
      <c r="A473" s="452">
        <f t="shared" si="21"/>
        <v>470</v>
      </c>
      <c r="B473" s="387">
        <v>46073</v>
      </c>
      <c r="C473" s="388">
        <v>46055</v>
      </c>
      <c r="D473" s="389" t="s">
        <v>248</v>
      </c>
      <c r="E473" s="398" t="s">
        <v>604</v>
      </c>
      <c r="F473" s="404">
        <v>5400.96</v>
      </c>
      <c r="G473" s="397" t="s">
        <v>1356</v>
      </c>
      <c r="H473" s="389" t="s">
        <v>1029</v>
      </c>
      <c r="I473" s="398" t="s">
        <v>1146</v>
      </c>
      <c r="J473" s="399" t="s">
        <v>683</v>
      </c>
      <c r="K473" s="390" t="str">
        <f t="shared" si="20"/>
        <v>XXX232120001XX</v>
      </c>
      <c r="L473" s="391" t="s">
        <v>1996</v>
      </c>
      <c r="M473" s="398" t="s">
        <v>707</v>
      </c>
      <c r="N473" s="399">
        <v>943700</v>
      </c>
      <c r="O473" s="399" t="s">
        <v>1188</v>
      </c>
      <c r="P473" s="398" t="s">
        <v>868</v>
      </c>
    </row>
    <row r="474" spans="1:16" s="401" customFormat="1" ht="36">
      <c r="A474" s="452">
        <f t="shared" si="21"/>
        <v>471</v>
      </c>
      <c r="B474" s="387">
        <v>46073</v>
      </c>
      <c r="C474" s="388">
        <v>46055</v>
      </c>
      <c r="D474" s="389" t="s">
        <v>248</v>
      </c>
      <c r="E474" s="398" t="s">
        <v>1215</v>
      </c>
      <c r="F474" s="404">
        <v>900</v>
      </c>
      <c r="G474" s="397" t="s">
        <v>1319</v>
      </c>
      <c r="H474" s="389" t="s">
        <v>278</v>
      </c>
      <c r="I474" s="398" t="s">
        <v>1147</v>
      </c>
      <c r="J474" s="399" t="s">
        <v>1148</v>
      </c>
      <c r="K474" s="390" t="str">
        <f t="shared" si="20"/>
        <v>XXX67280698 XX</v>
      </c>
      <c r="L474" s="391" t="s">
        <v>1996</v>
      </c>
      <c r="M474" s="398" t="s">
        <v>708</v>
      </c>
      <c r="N474" s="399">
        <v>74161</v>
      </c>
      <c r="O474" s="399" t="s">
        <v>1191</v>
      </c>
      <c r="P474" s="398" t="s">
        <v>574</v>
      </c>
    </row>
    <row r="475" spans="1:16" s="401" customFormat="1" ht="48">
      <c r="A475" s="452">
        <f t="shared" si="21"/>
        <v>472</v>
      </c>
      <c r="B475" s="387">
        <v>46073</v>
      </c>
      <c r="C475" s="388">
        <v>46055</v>
      </c>
      <c r="D475" s="389" t="s">
        <v>248</v>
      </c>
      <c r="E475" s="393" t="s">
        <v>167</v>
      </c>
      <c r="F475" s="404">
        <v>121.31</v>
      </c>
      <c r="G475" s="397" t="s">
        <v>1357</v>
      </c>
      <c r="H475" s="389" t="s">
        <v>278</v>
      </c>
      <c r="I475" s="398" t="s">
        <v>666</v>
      </c>
      <c r="J475" s="399" t="s">
        <v>667</v>
      </c>
      <c r="K475" s="390" t="str">
        <f t="shared" si="20"/>
        <v>XXX085160001XX</v>
      </c>
      <c r="L475" s="391" t="s">
        <v>1996</v>
      </c>
      <c r="M475" s="398" t="s">
        <v>717</v>
      </c>
      <c r="N475" s="399">
        <v>530037215</v>
      </c>
      <c r="O475" s="399" t="s">
        <v>1179</v>
      </c>
      <c r="P475" s="398" t="s">
        <v>574</v>
      </c>
    </row>
    <row r="476" spans="1:16" s="401" customFormat="1" ht="36">
      <c r="A476" s="452">
        <f t="shared" si="21"/>
        <v>473</v>
      </c>
      <c r="B476" s="387">
        <v>46073</v>
      </c>
      <c r="C476" s="388">
        <v>46024</v>
      </c>
      <c r="D476" s="389" t="s">
        <v>248</v>
      </c>
      <c r="E476" s="395" t="s">
        <v>477</v>
      </c>
      <c r="F476" s="404">
        <v>184.33</v>
      </c>
      <c r="G476" s="397" t="s">
        <v>1879</v>
      </c>
      <c r="H476" s="389" t="s">
        <v>738</v>
      </c>
      <c r="I476" s="398" t="s">
        <v>668</v>
      </c>
      <c r="J476" s="399" t="s">
        <v>669</v>
      </c>
      <c r="K476" s="390" t="str">
        <f t="shared" si="20"/>
        <v>XXX077460001XX</v>
      </c>
      <c r="L476" s="391" t="s">
        <v>1996</v>
      </c>
      <c r="M476" s="398" t="s">
        <v>721</v>
      </c>
      <c r="N476" s="399">
        <v>233</v>
      </c>
      <c r="O476" s="399" t="s">
        <v>904</v>
      </c>
      <c r="P476" s="398" t="s">
        <v>868</v>
      </c>
    </row>
    <row r="477" spans="1:16" s="401" customFormat="1" ht="84">
      <c r="A477" s="452">
        <f t="shared" si="21"/>
        <v>474</v>
      </c>
      <c r="B477" s="387">
        <v>46073</v>
      </c>
      <c r="C477" s="388">
        <v>46024</v>
      </c>
      <c r="D477" s="389" t="s">
        <v>248</v>
      </c>
      <c r="E477" s="398" t="s">
        <v>596</v>
      </c>
      <c r="F477" s="404">
        <v>546.89</v>
      </c>
      <c r="G477" s="397" t="s">
        <v>1880</v>
      </c>
      <c r="H477" s="389" t="s">
        <v>737</v>
      </c>
      <c r="I477" s="398" t="s">
        <v>668</v>
      </c>
      <c r="J477" s="399" t="s">
        <v>669</v>
      </c>
      <c r="K477" s="390" t="str">
        <f t="shared" si="20"/>
        <v>XXX077460001XX</v>
      </c>
      <c r="L477" s="391" t="s">
        <v>1996</v>
      </c>
      <c r="M477" s="398" t="s">
        <v>721</v>
      </c>
      <c r="N477" s="399">
        <v>6</v>
      </c>
      <c r="O477" s="399" t="s">
        <v>900</v>
      </c>
      <c r="P477" s="398" t="s">
        <v>868</v>
      </c>
    </row>
    <row r="478" spans="1:16" s="401" customFormat="1" ht="48">
      <c r="A478" s="452">
        <f t="shared" si="21"/>
        <v>475</v>
      </c>
      <c r="B478" s="387">
        <v>46073</v>
      </c>
      <c r="C478" s="388">
        <v>46024</v>
      </c>
      <c r="D478" s="389" t="s">
        <v>248</v>
      </c>
      <c r="E478" s="395" t="s">
        <v>78</v>
      </c>
      <c r="F478" s="404">
        <v>61.38</v>
      </c>
      <c r="G478" s="397" t="s">
        <v>1881</v>
      </c>
      <c r="H478" s="389" t="s">
        <v>278</v>
      </c>
      <c r="I478" s="398" t="s">
        <v>668</v>
      </c>
      <c r="J478" s="399" t="s">
        <v>669</v>
      </c>
      <c r="K478" s="390" t="str">
        <f t="shared" si="20"/>
        <v>XXX077460001XX</v>
      </c>
      <c r="L478" s="391" t="s">
        <v>1996</v>
      </c>
      <c r="M478" s="398" t="s">
        <v>721</v>
      </c>
      <c r="N478" s="399">
        <v>11</v>
      </c>
      <c r="O478" s="399" t="s">
        <v>907</v>
      </c>
      <c r="P478" s="398" t="s">
        <v>574</v>
      </c>
    </row>
    <row r="479" spans="1:16" s="401" customFormat="1" ht="48">
      <c r="A479" s="452">
        <f t="shared" si="21"/>
        <v>476</v>
      </c>
      <c r="B479" s="387">
        <v>46073</v>
      </c>
      <c r="C479" s="388">
        <v>46024</v>
      </c>
      <c r="D479" s="389" t="s">
        <v>248</v>
      </c>
      <c r="E479" s="398" t="s">
        <v>602</v>
      </c>
      <c r="F479" s="404">
        <v>127.88</v>
      </c>
      <c r="G479" s="397" t="s">
        <v>1882</v>
      </c>
      <c r="H479" s="389" t="s">
        <v>278</v>
      </c>
      <c r="I479" s="398" t="s">
        <v>668</v>
      </c>
      <c r="J479" s="399" t="s">
        <v>669</v>
      </c>
      <c r="K479" s="390" t="str">
        <f t="shared" si="20"/>
        <v>XXX077460001XX</v>
      </c>
      <c r="L479" s="391" t="s">
        <v>1996</v>
      </c>
      <c r="M479" s="398" t="s">
        <v>721</v>
      </c>
      <c r="N479" s="399">
        <v>65</v>
      </c>
      <c r="O479" s="399" t="s">
        <v>905</v>
      </c>
      <c r="P479" s="398" t="s">
        <v>574</v>
      </c>
    </row>
    <row r="480" spans="1:16" s="401" customFormat="1" ht="36">
      <c r="A480" s="452">
        <f t="shared" si="21"/>
        <v>477</v>
      </c>
      <c r="B480" s="387">
        <v>46073</v>
      </c>
      <c r="C480" s="388">
        <v>46024</v>
      </c>
      <c r="D480" s="389" t="s">
        <v>248</v>
      </c>
      <c r="E480" s="398" t="s">
        <v>758</v>
      </c>
      <c r="F480" s="404">
        <v>4496.04</v>
      </c>
      <c r="G480" s="397" t="s">
        <v>1883</v>
      </c>
      <c r="H480" s="389" t="s">
        <v>738</v>
      </c>
      <c r="I480" s="398" t="s">
        <v>668</v>
      </c>
      <c r="J480" s="399" t="s">
        <v>669</v>
      </c>
      <c r="K480" s="390" t="str">
        <f t="shared" si="20"/>
        <v>XXX077460001XX</v>
      </c>
      <c r="L480" s="391" t="s">
        <v>1996</v>
      </c>
      <c r="M480" s="398" t="s">
        <v>721</v>
      </c>
      <c r="N480" s="399">
        <v>93</v>
      </c>
      <c r="O480" s="399" t="s">
        <v>899</v>
      </c>
      <c r="P480" s="398" t="s">
        <v>574</v>
      </c>
    </row>
    <row r="481" spans="1:16" s="401" customFormat="1" ht="72">
      <c r="A481" s="452">
        <f t="shared" si="21"/>
        <v>478</v>
      </c>
      <c r="B481" s="387">
        <v>46073</v>
      </c>
      <c r="C481" s="388">
        <v>46024</v>
      </c>
      <c r="D481" s="389" t="s">
        <v>248</v>
      </c>
      <c r="E481" s="395" t="s">
        <v>78</v>
      </c>
      <c r="F481" s="404">
        <v>469.76</v>
      </c>
      <c r="G481" s="397" t="s">
        <v>1884</v>
      </c>
      <c r="H481" s="389" t="s">
        <v>1029</v>
      </c>
      <c r="I481" s="398" t="s">
        <v>668</v>
      </c>
      <c r="J481" s="399" t="s">
        <v>669</v>
      </c>
      <c r="K481" s="390" t="str">
        <f t="shared" si="20"/>
        <v>XXX077460001XX</v>
      </c>
      <c r="L481" s="391" t="s">
        <v>1996</v>
      </c>
      <c r="M481" s="398" t="s">
        <v>721</v>
      </c>
      <c r="N481" s="399">
        <v>262</v>
      </c>
      <c r="O481" s="399" t="s">
        <v>886</v>
      </c>
      <c r="P481" s="398" t="s">
        <v>574</v>
      </c>
    </row>
    <row r="482" spans="1:16" s="401" customFormat="1" ht="96">
      <c r="A482" s="452">
        <f t="shared" si="21"/>
        <v>479</v>
      </c>
      <c r="B482" s="387">
        <v>46073</v>
      </c>
      <c r="C482" s="388">
        <v>46024</v>
      </c>
      <c r="D482" s="389" t="s">
        <v>248</v>
      </c>
      <c r="E482" s="398" t="s">
        <v>595</v>
      </c>
      <c r="F482" s="404">
        <v>104.41</v>
      </c>
      <c r="G482" s="397" t="s">
        <v>1885</v>
      </c>
      <c r="H482" s="389" t="s">
        <v>278</v>
      </c>
      <c r="I482" s="398" t="s">
        <v>668</v>
      </c>
      <c r="J482" s="399" t="s">
        <v>669</v>
      </c>
      <c r="K482" s="390" t="str">
        <f t="shared" si="20"/>
        <v>XXX077460001XX</v>
      </c>
      <c r="L482" s="391" t="s">
        <v>1996</v>
      </c>
      <c r="M482" s="398" t="s">
        <v>721</v>
      </c>
      <c r="N482" s="399">
        <v>341</v>
      </c>
      <c r="O482" s="399" t="s">
        <v>900</v>
      </c>
      <c r="P482" s="398" t="s">
        <v>574</v>
      </c>
    </row>
    <row r="483" spans="1:16" s="401" customFormat="1" ht="36">
      <c r="A483" s="452">
        <f t="shared" si="21"/>
        <v>480</v>
      </c>
      <c r="B483" s="387">
        <v>46073</v>
      </c>
      <c r="C483" s="388">
        <v>46024</v>
      </c>
      <c r="D483" s="389" t="s">
        <v>166</v>
      </c>
      <c r="E483" s="398" t="s">
        <v>581</v>
      </c>
      <c r="F483" s="404">
        <v>32.46</v>
      </c>
      <c r="G483" s="397" t="s">
        <v>1873</v>
      </c>
      <c r="H483" s="389" t="s">
        <v>166</v>
      </c>
      <c r="I483" s="398" t="s">
        <v>668</v>
      </c>
      <c r="J483" s="399" t="s">
        <v>669</v>
      </c>
      <c r="K483" s="390" t="str">
        <f t="shared" si="20"/>
        <v>XXX077460001XX</v>
      </c>
      <c r="L483" s="391" t="s">
        <v>1996</v>
      </c>
      <c r="M483" s="398" t="s">
        <v>721</v>
      </c>
      <c r="N483" s="399">
        <v>3687</v>
      </c>
      <c r="O483" s="399" t="s">
        <v>907</v>
      </c>
      <c r="P483" s="398" t="s">
        <v>574</v>
      </c>
    </row>
    <row r="484" spans="1:16" s="401" customFormat="1" ht="36">
      <c r="A484" s="452">
        <f t="shared" si="21"/>
        <v>481</v>
      </c>
      <c r="B484" s="387">
        <v>46073</v>
      </c>
      <c r="C484" s="388">
        <v>46024</v>
      </c>
      <c r="D484" s="389" t="s">
        <v>166</v>
      </c>
      <c r="E484" s="398" t="s">
        <v>581</v>
      </c>
      <c r="F484" s="404">
        <v>27.79</v>
      </c>
      <c r="G484" s="397" t="s">
        <v>1873</v>
      </c>
      <c r="H484" s="389" t="s">
        <v>166</v>
      </c>
      <c r="I484" s="398" t="s">
        <v>668</v>
      </c>
      <c r="J484" s="399" t="s">
        <v>669</v>
      </c>
      <c r="K484" s="390" t="str">
        <f t="shared" si="20"/>
        <v>XXX077460001XX</v>
      </c>
      <c r="L484" s="391" t="s">
        <v>1996</v>
      </c>
      <c r="M484" s="398" t="s">
        <v>721</v>
      </c>
      <c r="N484" s="399">
        <v>3695</v>
      </c>
      <c r="O484" s="399" t="s">
        <v>907</v>
      </c>
      <c r="P484" s="398" t="s">
        <v>574</v>
      </c>
    </row>
    <row r="485" spans="1:16" s="401" customFormat="1" ht="84">
      <c r="A485" s="452">
        <f t="shared" si="21"/>
        <v>482</v>
      </c>
      <c r="B485" s="387">
        <v>46073</v>
      </c>
      <c r="C485" s="388">
        <v>46024</v>
      </c>
      <c r="D485" s="389" t="s">
        <v>248</v>
      </c>
      <c r="E485" s="393" t="s">
        <v>164</v>
      </c>
      <c r="F485" s="404">
        <v>78.55</v>
      </c>
      <c r="G485" s="397" t="s">
        <v>1886</v>
      </c>
      <c r="H485" s="389" t="s">
        <v>278</v>
      </c>
      <c r="I485" s="398" t="s">
        <v>668</v>
      </c>
      <c r="J485" s="399" t="s">
        <v>669</v>
      </c>
      <c r="K485" s="390" t="str">
        <f t="shared" si="20"/>
        <v>XXX077460001XX</v>
      </c>
      <c r="L485" s="391" t="s">
        <v>1996</v>
      </c>
      <c r="M485" s="398" t="s">
        <v>721</v>
      </c>
      <c r="N485" s="399">
        <v>22426</v>
      </c>
      <c r="O485" s="399" t="s">
        <v>898</v>
      </c>
      <c r="P485" s="398" t="s">
        <v>574</v>
      </c>
    </row>
    <row r="486" spans="1:16" s="401" customFormat="1" ht="36">
      <c r="A486" s="452">
        <f t="shared" si="21"/>
        <v>483</v>
      </c>
      <c r="B486" s="387">
        <v>46073</v>
      </c>
      <c r="C486" s="388">
        <v>46024</v>
      </c>
      <c r="D486" s="389" t="s">
        <v>166</v>
      </c>
      <c r="E486" s="398" t="s">
        <v>603</v>
      </c>
      <c r="F486" s="404">
        <v>215.68</v>
      </c>
      <c r="G486" s="397" t="s">
        <v>1873</v>
      </c>
      <c r="H486" s="389" t="s">
        <v>166</v>
      </c>
      <c r="I486" s="398" t="s">
        <v>668</v>
      </c>
      <c r="J486" s="399" t="s">
        <v>669</v>
      </c>
      <c r="K486" s="390" t="str">
        <f t="shared" si="20"/>
        <v>XXX077460001XX</v>
      </c>
      <c r="L486" s="391" t="s">
        <v>1996</v>
      </c>
      <c r="M486" s="398" t="s">
        <v>721</v>
      </c>
      <c r="N486" s="399">
        <v>202629899</v>
      </c>
      <c r="O486" s="399" t="s">
        <v>887</v>
      </c>
      <c r="P486" s="398" t="s">
        <v>572</v>
      </c>
    </row>
    <row r="487" spans="1:16" s="401" customFormat="1" ht="84">
      <c r="A487" s="452">
        <f t="shared" si="21"/>
        <v>484</v>
      </c>
      <c r="B487" s="387">
        <v>46073</v>
      </c>
      <c r="C487" s="388">
        <v>45993</v>
      </c>
      <c r="D487" s="389" t="s">
        <v>248</v>
      </c>
      <c r="E487" s="393" t="s">
        <v>164</v>
      </c>
      <c r="F487" s="404">
        <v>78.55</v>
      </c>
      <c r="G487" s="397" t="s">
        <v>1887</v>
      </c>
      <c r="H487" s="389" t="s">
        <v>278</v>
      </c>
      <c r="I487" s="398" t="s">
        <v>668</v>
      </c>
      <c r="J487" s="399" t="s">
        <v>669</v>
      </c>
      <c r="K487" s="390" t="str">
        <f t="shared" si="20"/>
        <v>XXX077460001XX</v>
      </c>
      <c r="L487" s="391" t="s">
        <v>1996</v>
      </c>
      <c r="M487" s="398" t="s">
        <v>721</v>
      </c>
      <c r="N487" s="399">
        <v>4256549</v>
      </c>
      <c r="O487" s="399" t="s">
        <v>848</v>
      </c>
      <c r="P487" s="398" t="s">
        <v>574</v>
      </c>
    </row>
    <row r="488" spans="1:16" s="401" customFormat="1" ht="36">
      <c r="A488" s="452">
        <f t="shared" si="21"/>
        <v>485</v>
      </c>
      <c r="B488" s="387">
        <v>46073</v>
      </c>
      <c r="C488" s="388">
        <v>46024</v>
      </c>
      <c r="D488" s="389" t="s">
        <v>166</v>
      </c>
      <c r="E488" s="398" t="s">
        <v>1210</v>
      </c>
      <c r="F488" s="404">
        <v>25667.3</v>
      </c>
      <c r="G488" s="397" t="s">
        <v>1358</v>
      </c>
      <c r="H488" s="389" t="s">
        <v>166</v>
      </c>
      <c r="I488" s="398" t="s">
        <v>672</v>
      </c>
      <c r="J488" s="399" t="s">
        <v>673</v>
      </c>
      <c r="K488" s="390" t="str">
        <f t="shared" si="20"/>
        <v>XXX944600058XX</v>
      </c>
      <c r="L488" s="391" t="s">
        <v>1996</v>
      </c>
      <c r="M488" s="398" t="s">
        <v>723</v>
      </c>
      <c r="N488" s="399">
        <v>2100</v>
      </c>
      <c r="O488" s="399" t="s">
        <v>885</v>
      </c>
      <c r="P488" s="398" t="s">
        <v>572</v>
      </c>
    </row>
    <row r="489" spans="1:16" s="401" customFormat="1" ht="36">
      <c r="A489" s="452">
        <f t="shared" si="21"/>
        <v>486</v>
      </c>
      <c r="B489" s="387">
        <v>46073</v>
      </c>
      <c r="C489" s="388">
        <v>46024</v>
      </c>
      <c r="D489" s="389" t="s">
        <v>166</v>
      </c>
      <c r="E489" s="394" t="s">
        <v>245</v>
      </c>
      <c r="F489" s="404">
        <v>16366.24</v>
      </c>
      <c r="G489" s="397" t="s">
        <v>1359</v>
      </c>
      <c r="H489" s="389" t="s">
        <v>166</v>
      </c>
      <c r="I489" s="398" t="s">
        <v>668</v>
      </c>
      <c r="J489" s="399" t="s">
        <v>669</v>
      </c>
      <c r="K489" s="390" t="str">
        <f t="shared" si="20"/>
        <v>XXX077460001XX</v>
      </c>
      <c r="L489" s="391" t="s">
        <v>1996</v>
      </c>
      <c r="M489" s="398" t="s">
        <v>725</v>
      </c>
      <c r="N489" s="399">
        <v>83010126</v>
      </c>
      <c r="O489" s="399" t="s">
        <v>885</v>
      </c>
      <c r="P489" s="398" t="s">
        <v>572</v>
      </c>
    </row>
    <row r="490" spans="1:16" s="401" customFormat="1" ht="36">
      <c r="A490" s="452">
        <f t="shared" si="21"/>
        <v>487</v>
      </c>
      <c r="B490" s="387">
        <v>46073</v>
      </c>
      <c r="C490" s="388">
        <v>46024</v>
      </c>
      <c r="D490" s="389" t="s">
        <v>166</v>
      </c>
      <c r="E490" s="394" t="s">
        <v>234</v>
      </c>
      <c r="F490" s="404">
        <v>553647.12</v>
      </c>
      <c r="G490" s="397" t="s">
        <v>1360</v>
      </c>
      <c r="H490" s="389" t="s">
        <v>166</v>
      </c>
      <c r="I490" s="398" t="s">
        <v>668</v>
      </c>
      <c r="J490" s="399" t="s">
        <v>669</v>
      </c>
      <c r="K490" s="390" t="str">
        <f t="shared" si="20"/>
        <v>XXX077460001XX</v>
      </c>
      <c r="L490" s="391" t="s">
        <v>1996</v>
      </c>
      <c r="M490" s="398" t="s">
        <v>723</v>
      </c>
      <c r="N490" s="399">
        <v>2100</v>
      </c>
      <c r="O490" s="399" t="s">
        <v>885</v>
      </c>
      <c r="P490" s="398" t="s">
        <v>572</v>
      </c>
    </row>
    <row r="491" spans="1:16" s="401" customFormat="1" ht="60">
      <c r="A491" s="452">
        <f t="shared" si="21"/>
        <v>488</v>
      </c>
      <c r="B491" s="387">
        <v>46073</v>
      </c>
      <c r="C491" s="388">
        <v>45963</v>
      </c>
      <c r="D491" s="389" t="s">
        <v>248</v>
      </c>
      <c r="E491" s="398" t="s">
        <v>605</v>
      </c>
      <c r="F491" s="404">
        <v>126514.19</v>
      </c>
      <c r="G491" s="397" t="s">
        <v>1361</v>
      </c>
      <c r="H491" s="389" t="s">
        <v>278</v>
      </c>
      <c r="I491" s="398" t="s">
        <v>637</v>
      </c>
      <c r="J491" s="399" t="s">
        <v>638</v>
      </c>
      <c r="K491" s="390" t="str">
        <f t="shared" si="20"/>
        <v>XXX128340001XX</v>
      </c>
      <c r="L491" s="391" t="s">
        <v>1996</v>
      </c>
      <c r="M491" s="398" t="s">
        <v>715</v>
      </c>
      <c r="N491" s="399">
        <v>74311125</v>
      </c>
      <c r="O491" s="399" t="s">
        <v>1194</v>
      </c>
      <c r="P491" s="398" t="s">
        <v>573</v>
      </c>
    </row>
    <row r="492" spans="1:16" s="401" customFormat="1" ht="36">
      <c r="A492" s="452">
        <f t="shared" si="21"/>
        <v>489</v>
      </c>
      <c r="B492" s="387">
        <v>46073</v>
      </c>
      <c r="C492" s="388">
        <v>46055</v>
      </c>
      <c r="D492" s="389" t="s">
        <v>248</v>
      </c>
      <c r="E492" s="398" t="s">
        <v>604</v>
      </c>
      <c r="F492" s="404">
        <v>9728.5499999999993</v>
      </c>
      <c r="G492" s="397" t="s">
        <v>1356</v>
      </c>
      <c r="H492" s="389" t="s">
        <v>1029</v>
      </c>
      <c r="I492" s="398" t="s">
        <v>1146</v>
      </c>
      <c r="J492" s="399" t="s">
        <v>683</v>
      </c>
      <c r="K492" s="390" t="str">
        <f t="shared" si="20"/>
        <v>XXX232120001XX</v>
      </c>
      <c r="L492" s="391" t="s">
        <v>1996</v>
      </c>
      <c r="M492" s="398" t="s">
        <v>707</v>
      </c>
      <c r="N492" s="399">
        <v>2254211</v>
      </c>
      <c r="O492" s="399" t="s">
        <v>1188</v>
      </c>
      <c r="P492" s="398" t="s">
        <v>868</v>
      </c>
    </row>
    <row r="493" spans="1:16" s="401" customFormat="1" ht="48">
      <c r="A493" s="452">
        <f t="shared" si="21"/>
        <v>490</v>
      </c>
      <c r="B493" s="387">
        <v>46076</v>
      </c>
      <c r="C493" s="388">
        <v>46024</v>
      </c>
      <c r="D493" s="389" t="s">
        <v>248</v>
      </c>
      <c r="E493" s="395" t="s">
        <v>87</v>
      </c>
      <c r="F493" s="404">
        <v>1386.34</v>
      </c>
      <c r="G493" s="397" t="s">
        <v>1362</v>
      </c>
      <c r="H493" s="389" t="s">
        <v>278</v>
      </c>
      <c r="I493" s="398" t="s">
        <v>674</v>
      </c>
      <c r="J493" s="399" t="s">
        <v>675</v>
      </c>
      <c r="K493" s="390" t="str">
        <f t="shared" si="20"/>
        <v>XXX414630001XX</v>
      </c>
      <c r="L493" s="391" t="s">
        <v>1996</v>
      </c>
      <c r="M493" s="398" t="s">
        <v>704</v>
      </c>
      <c r="N493" s="399">
        <v>816</v>
      </c>
      <c r="O493" s="399" t="s">
        <v>908</v>
      </c>
      <c r="P493" s="398" t="s">
        <v>574</v>
      </c>
    </row>
    <row r="494" spans="1:16" s="401" customFormat="1" ht="36">
      <c r="A494" s="452">
        <f t="shared" si="21"/>
        <v>491</v>
      </c>
      <c r="B494" s="387">
        <v>46076</v>
      </c>
      <c r="C494" s="388">
        <v>46055</v>
      </c>
      <c r="D494" s="389" t="s">
        <v>248</v>
      </c>
      <c r="E494" s="398" t="s">
        <v>609</v>
      </c>
      <c r="F494" s="404">
        <v>883.99</v>
      </c>
      <c r="G494" s="397" t="s">
        <v>1363</v>
      </c>
      <c r="H494" s="389" t="s">
        <v>278</v>
      </c>
      <c r="I494" s="398" t="s">
        <v>680</v>
      </c>
      <c r="J494" s="399" t="s">
        <v>751</v>
      </c>
      <c r="K494" s="390" t="str">
        <f t="shared" si="20"/>
        <v>XXX283160001XX</v>
      </c>
      <c r="L494" s="391" t="s">
        <v>1996</v>
      </c>
      <c r="M494" s="398" t="s">
        <v>704</v>
      </c>
      <c r="N494" s="399">
        <v>2459041</v>
      </c>
      <c r="O494" s="399" t="s">
        <v>1182</v>
      </c>
      <c r="P494" s="398" t="s">
        <v>574</v>
      </c>
    </row>
    <row r="495" spans="1:16" s="401" customFormat="1" ht="24">
      <c r="A495" s="452">
        <f t="shared" si="21"/>
        <v>492</v>
      </c>
      <c r="B495" s="387">
        <v>46078</v>
      </c>
      <c r="C495" s="388">
        <v>46055</v>
      </c>
      <c r="D495" s="389" t="s">
        <v>166</v>
      </c>
      <c r="E495" s="398" t="s">
        <v>583</v>
      </c>
      <c r="F495" s="404">
        <v>2390.63</v>
      </c>
      <c r="G495" s="397" t="s">
        <v>1365</v>
      </c>
      <c r="H495" s="389" t="s">
        <v>166</v>
      </c>
      <c r="I495" s="398" t="s">
        <v>1149</v>
      </c>
      <c r="J495" s="399" t="s">
        <v>1150</v>
      </c>
      <c r="K495" s="390" t="str">
        <f t="shared" ref="K495:K540" si="22">IF(J495="","",IF(LEN(J495)&gt;14,IF(ISBLANK(J495),"",J495),REPLACE(REPLACE(J495,1,3,"XXX"),13,2,"XX")))</f>
        <v>XXX17974685 XX</v>
      </c>
      <c r="L495" s="391" t="s">
        <v>1996</v>
      </c>
      <c r="M495" s="398" t="s">
        <v>705</v>
      </c>
      <c r="N495" s="399">
        <v>733</v>
      </c>
      <c r="O495" s="399" t="s">
        <v>1197</v>
      </c>
      <c r="P495" s="398" t="s">
        <v>573</v>
      </c>
    </row>
    <row r="496" spans="1:16" s="401" customFormat="1" ht="48">
      <c r="A496" s="452">
        <f t="shared" si="21"/>
        <v>493</v>
      </c>
      <c r="B496" s="387">
        <v>46078</v>
      </c>
      <c r="C496" s="388">
        <v>46055</v>
      </c>
      <c r="D496" s="389" t="s">
        <v>166</v>
      </c>
      <c r="E496" s="398" t="s">
        <v>584</v>
      </c>
      <c r="F496" s="404">
        <v>5093.5600000000004</v>
      </c>
      <c r="G496" s="397" t="s">
        <v>1366</v>
      </c>
      <c r="H496" s="389" t="s">
        <v>166</v>
      </c>
      <c r="I496" s="398" t="s">
        <v>618</v>
      </c>
      <c r="J496" s="399" t="s">
        <v>619</v>
      </c>
      <c r="K496" s="390" t="str">
        <f t="shared" si="22"/>
        <v>XXX985050001XX</v>
      </c>
      <c r="L496" s="391" t="s">
        <v>1996</v>
      </c>
      <c r="M496" s="398" t="s">
        <v>706</v>
      </c>
      <c r="N496" s="399">
        <v>2057887382</v>
      </c>
      <c r="O496" s="399" t="s">
        <v>1197</v>
      </c>
      <c r="P496" s="398" t="s">
        <v>572</v>
      </c>
    </row>
    <row r="497" spans="1:16" s="401" customFormat="1" ht="48">
      <c r="A497" s="452">
        <f t="shared" si="21"/>
        <v>494</v>
      </c>
      <c r="B497" s="387">
        <v>46078</v>
      </c>
      <c r="C497" s="388">
        <v>46055</v>
      </c>
      <c r="D497" s="389" t="s">
        <v>166</v>
      </c>
      <c r="E497" s="398" t="s">
        <v>584</v>
      </c>
      <c r="F497" s="404">
        <v>2383.0300000000002</v>
      </c>
      <c r="G497" s="397" t="s">
        <v>1367</v>
      </c>
      <c r="H497" s="389" t="s">
        <v>166</v>
      </c>
      <c r="I497" s="398" t="s">
        <v>622</v>
      </c>
      <c r="J497" s="399" t="s">
        <v>623</v>
      </c>
      <c r="K497" s="390" t="str">
        <f t="shared" si="22"/>
        <v>XXX267150001XX</v>
      </c>
      <c r="L497" s="391" t="s">
        <v>1996</v>
      </c>
      <c r="M497" s="398" t="s">
        <v>706</v>
      </c>
      <c r="N497" s="399">
        <v>2057887383</v>
      </c>
      <c r="O497" s="399" t="s">
        <v>1197</v>
      </c>
      <c r="P497" s="398" t="s">
        <v>572</v>
      </c>
    </row>
    <row r="498" spans="1:16" s="401" customFormat="1" ht="60">
      <c r="A498" s="452">
        <f t="shared" si="21"/>
        <v>495</v>
      </c>
      <c r="B498" s="387">
        <v>46078</v>
      </c>
      <c r="C498" s="388">
        <v>46055</v>
      </c>
      <c r="D498" s="389" t="s">
        <v>353</v>
      </c>
      <c r="E498" s="394" t="s">
        <v>334</v>
      </c>
      <c r="F498" s="404">
        <v>-3247089.02</v>
      </c>
      <c r="G498" s="397" t="s">
        <v>1417</v>
      </c>
      <c r="H498" s="389" t="s">
        <v>280</v>
      </c>
      <c r="I498" s="394" t="s">
        <v>744</v>
      </c>
      <c r="J498" s="455">
        <v>7837375000150</v>
      </c>
      <c r="K498" s="390" t="str">
        <f t="shared" si="22"/>
        <v>XXX737500015XX</v>
      </c>
      <c r="L498" s="391" t="s">
        <v>1996</v>
      </c>
      <c r="M498" s="398" t="s">
        <v>719</v>
      </c>
      <c r="N498" s="399">
        <v>22026</v>
      </c>
      <c r="O498" s="399" t="s">
        <v>1197</v>
      </c>
      <c r="P498" s="398" t="s">
        <v>576</v>
      </c>
    </row>
    <row r="499" spans="1:16" s="401" customFormat="1" ht="36">
      <c r="A499" s="452">
        <f t="shared" si="21"/>
        <v>496</v>
      </c>
      <c r="B499" s="387">
        <v>46078</v>
      </c>
      <c r="C499" s="388">
        <v>46024</v>
      </c>
      <c r="D499" s="389" t="s">
        <v>166</v>
      </c>
      <c r="E499" s="398" t="s">
        <v>586</v>
      </c>
      <c r="F499" s="404">
        <v>84800</v>
      </c>
      <c r="G499" s="397" t="s">
        <v>1368</v>
      </c>
      <c r="H499" s="389" t="s">
        <v>166</v>
      </c>
      <c r="I499" s="398" t="s">
        <v>620</v>
      </c>
      <c r="J499" s="399" t="s">
        <v>621</v>
      </c>
      <c r="K499" s="390" t="str">
        <f t="shared" si="22"/>
        <v>XXX408760001XX</v>
      </c>
      <c r="L499" s="391" t="s">
        <v>1996</v>
      </c>
      <c r="M499" s="398" t="s">
        <v>706</v>
      </c>
      <c r="N499" s="399">
        <v>2057887384</v>
      </c>
      <c r="O499" s="399" t="s">
        <v>911</v>
      </c>
      <c r="P499" s="398" t="s">
        <v>572</v>
      </c>
    </row>
    <row r="500" spans="1:16" s="401" customFormat="1" ht="36">
      <c r="A500" s="452">
        <f t="shared" si="21"/>
        <v>497</v>
      </c>
      <c r="B500" s="387">
        <v>46078</v>
      </c>
      <c r="C500" s="388">
        <v>46024</v>
      </c>
      <c r="D500" s="389" t="s">
        <v>166</v>
      </c>
      <c r="E500" s="398" t="s">
        <v>586</v>
      </c>
      <c r="F500" s="404">
        <v>46533.56</v>
      </c>
      <c r="G500" s="397" t="s">
        <v>1368</v>
      </c>
      <c r="H500" s="389" t="s">
        <v>166</v>
      </c>
      <c r="I500" s="398" t="s">
        <v>620</v>
      </c>
      <c r="J500" s="399" t="s">
        <v>621</v>
      </c>
      <c r="K500" s="390" t="str">
        <f t="shared" si="22"/>
        <v>XXX408760001XX</v>
      </c>
      <c r="L500" s="391" t="s">
        <v>1996</v>
      </c>
      <c r="M500" s="398" t="s">
        <v>706</v>
      </c>
      <c r="N500" s="399">
        <v>2057887385</v>
      </c>
      <c r="O500" s="399" t="s">
        <v>911</v>
      </c>
      <c r="P500" s="398" t="s">
        <v>572</v>
      </c>
    </row>
    <row r="501" spans="1:16" s="401" customFormat="1" ht="36">
      <c r="A501" s="452">
        <f t="shared" si="21"/>
        <v>498</v>
      </c>
      <c r="B501" s="387">
        <v>46078</v>
      </c>
      <c r="C501" s="388">
        <v>46024</v>
      </c>
      <c r="D501" s="389" t="s">
        <v>166</v>
      </c>
      <c r="E501" s="398" t="s">
        <v>585</v>
      </c>
      <c r="F501" s="404">
        <v>3400</v>
      </c>
      <c r="G501" s="397" t="s">
        <v>1369</v>
      </c>
      <c r="H501" s="389" t="s">
        <v>166</v>
      </c>
      <c r="I501" s="398" t="s">
        <v>620</v>
      </c>
      <c r="J501" s="399" t="s">
        <v>621</v>
      </c>
      <c r="K501" s="390" t="str">
        <f t="shared" si="22"/>
        <v>XXX408760001XX</v>
      </c>
      <c r="L501" s="391" t="s">
        <v>1996</v>
      </c>
      <c r="M501" s="398" t="s">
        <v>706</v>
      </c>
      <c r="N501" s="399">
        <v>2057887386</v>
      </c>
      <c r="O501" s="399" t="s">
        <v>911</v>
      </c>
      <c r="P501" s="398" t="s">
        <v>572</v>
      </c>
    </row>
    <row r="502" spans="1:16" s="401" customFormat="1" ht="36">
      <c r="A502" s="452">
        <f t="shared" si="21"/>
        <v>499</v>
      </c>
      <c r="B502" s="387">
        <v>46079</v>
      </c>
      <c r="C502" s="388">
        <v>46055</v>
      </c>
      <c r="D502" s="389" t="s">
        <v>248</v>
      </c>
      <c r="E502" s="393" t="s">
        <v>164</v>
      </c>
      <c r="F502" s="404">
        <v>1451.95</v>
      </c>
      <c r="G502" s="397" t="s">
        <v>1370</v>
      </c>
      <c r="H502" s="389" t="s">
        <v>278</v>
      </c>
      <c r="I502" s="398" t="s">
        <v>628</v>
      </c>
      <c r="J502" s="399" t="s">
        <v>629</v>
      </c>
      <c r="K502" s="390" t="str">
        <f t="shared" si="22"/>
        <v>XXX905900001XX</v>
      </c>
      <c r="L502" s="391" t="s">
        <v>1996</v>
      </c>
      <c r="M502" s="398" t="s">
        <v>704</v>
      </c>
      <c r="N502" s="399">
        <v>16161032</v>
      </c>
      <c r="O502" s="399" t="s">
        <v>1180</v>
      </c>
      <c r="P502" s="398" t="s">
        <v>574</v>
      </c>
    </row>
    <row r="503" spans="1:16" s="401" customFormat="1" ht="60">
      <c r="A503" s="452">
        <f t="shared" si="21"/>
        <v>500</v>
      </c>
      <c r="B503" s="387">
        <v>46079</v>
      </c>
      <c r="C503" s="388">
        <v>46024</v>
      </c>
      <c r="D503" s="389" t="s">
        <v>248</v>
      </c>
      <c r="E503" s="398" t="s">
        <v>582</v>
      </c>
      <c r="F503" s="404">
        <v>917.62</v>
      </c>
      <c r="G503" s="397" t="s">
        <v>786</v>
      </c>
      <c r="H503" s="389" t="s">
        <v>737</v>
      </c>
      <c r="I503" s="398" t="s">
        <v>614</v>
      </c>
      <c r="J503" s="399" t="s">
        <v>615</v>
      </c>
      <c r="K503" s="390" t="str">
        <f t="shared" si="22"/>
        <v>XXX470160001XX</v>
      </c>
      <c r="L503" s="391" t="s">
        <v>1996</v>
      </c>
      <c r="M503" s="398" t="s">
        <v>704</v>
      </c>
      <c r="N503" s="399">
        <v>4498</v>
      </c>
      <c r="O503" s="399" t="s">
        <v>1184</v>
      </c>
      <c r="P503" s="398" t="s">
        <v>574</v>
      </c>
    </row>
    <row r="504" spans="1:16" s="401" customFormat="1" ht="60">
      <c r="A504" s="452">
        <f t="shared" si="21"/>
        <v>501</v>
      </c>
      <c r="B504" s="387">
        <v>46079</v>
      </c>
      <c r="C504" s="388">
        <v>46024</v>
      </c>
      <c r="D504" s="389" t="s">
        <v>248</v>
      </c>
      <c r="E504" s="398" t="s">
        <v>582</v>
      </c>
      <c r="F504" s="404">
        <v>17.93</v>
      </c>
      <c r="G504" s="397" t="s">
        <v>786</v>
      </c>
      <c r="H504" s="389" t="s">
        <v>737</v>
      </c>
      <c r="I504" s="398" t="s">
        <v>614</v>
      </c>
      <c r="J504" s="399" t="s">
        <v>615</v>
      </c>
      <c r="K504" s="390" t="str">
        <f t="shared" si="22"/>
        <v>XXX470160001XX</v>
      </c>
      <c r="L504" s="391" t="s">
        <v>1996</v>
      </c>
      <c r="M504" s="398" t="s">
        <v>704</v>
      </c>
      <c r="N504" s="399">
        <v>1897</v>
      </c>
      <c r="O504" s="399" t="s">
        <v>1184</v>
      </c>
      <c r="P504" s="398" t="s">
        <v>574</v>
      </c>
    </row>
    <row r="505" spans="1:16" s="401" customFormat="1" ht="108">
      <c r="A505" s="452">
        <f t="shared" si="21"/>
        <v>502</v>
      </c>
      <c r="B505" s="387">
        <v>46079</v>
      </c>
      <c r="C505" s="388">
        <v>46024</v>
      </c>
      <c r="D505" s="389" t="s">
        <v>248</v>
      </c>
      <c r="E505" s="393" t="s">
        <v>164</v>
      </c>
      <c r="F505" s="404">
        <v>19.899999999999999</v>
      </c>
      <c r="G505" s="397" t="s">
        <v>1371</v>
      </c>
      <c r="H505" s="389" t="s">
        <v>278</v>
      </c>
      <c r="I505" s="398" t="s">
        <v>616</v>
      </c>
      <c r="J505" s="399" t="s">
        <v>617</v>
      </c>
      <c r="K505" s="390" t="str">
        <f t="shared" si="22"/>
        <v>XXX239040003XX</v>
      </c>
      <c r="L505" s="391" t="s">
        <v>1996</v>
      </c>
      <c r="M505" s="398" t="s">
        <v>704</v>
      </c>
      <c r="N505" s="399">
        <v>3865</v>
      </c>
      <c r="O505" s="399" t="s">
        <v>1192</v>
      </c>
      <c r="P505" s="398" t="s">
        <v>574</v>
      </c>
    </row>
    <row r="506" spans="1:16" s="401" customFormat="1" ht="48">
      <c r="A506" s="452">
        <f t="shared" si="21"/>
        <v>503</v>
      </c>
      <c r="B506" s="387">
        <v>46079</v>
      </c>
      <c r="C506" s="388">
        <v>46055</v>
      </c>
      <c r="D506" s="389" t="s">
        <v>248</v>
      </c>
      <c r="E506" s="398" t="s">
        <v>597</v>
      </c>
      <c r="F506" s="404">
        <v>1887.12</v>
      </c>
      <c r="G506" s="397" t="s">
        <v>1372</v>
      </c>
      <c r="H506" s="389" t="s">
        <v>278</v>
      </c>
      <c r="I506" s="398" t="s">
        <v>664</v>
      </c>
      <c r="J506" s="399" t="s">
        <v>665</v>
      </c>
      <c r="K506" s="390" t="str">
        <f t="shared" si="22"/>
        <v>XXX070650001XX</v>
      </c>
      <c r="L506" s="391" t="s">
        <v>1996</v>
      </c>
      <c r="M506" s="398" t="s">
        <v>708</v>
      </c>
      <c r="N506" s="399">
        <v>5051</v>
      </c>
      <c r="O506" s="399" t="s">
        <v>1190</v>
      </c>
      <c r="P506" s="398" t="s">
        <v>574</v>
      </c>
    </row>
    <row r="507" spans="1:16" s="401" customFormat="1" ht="36">
      <c r="A507" s="452">
        <f t="shared" si="21"/>
        <v>504</v>
      </c>
      <c r="B507" s="387">
        <v>46079</v>
      </c>
      <c r="C507" s="388">
        <v>46055</v>
      </c>
      <c r="D507" s="389" t="s">
        <v>248</v>
      </c>
      <c r="E507" s="398" t="s">
        <v>595</v>
      </c>
      <c r="F507" s="404">
        <v>3127.25</v>
      </c>
      <c r="G507" s="397" t="s">
        <v>1373</v>
      </c>
      <c r="H507" s="389" t="s">
        <v>738</v>
      </c>
      <c r="I507" s="398" t="s">
        <v>1151</v>
      </c>
      <c r="J507" s="399" t="s">
        <v>1152</v>
      </c>
      <c r="K507" s="390" t="str">
        <f t="shared" si="22"/>
        <v>XXX397370005XX</v>
      </c>
      <c r="L507" s="391" t="s">
        <v>1996</v>
      </c>
      <c r="M507" s="398" t="s">
        <v>704</v>
      </c>
      <c r="N507" s="399">
        <v>15328</v>
      </c>
      <c r="O507" s="399" t="s">
        <v>1181</v>
      </c>
      <c r="P507" s="398" t="s">
        <v>868</v>
      </c>
    </row>
    <row r="508" spans="1:16" s="401" customFormat="1" ht="36">
      <c r="A508" s="452">
        <f t="shared" si="21"/>
        <v>505</v>
      </c>
      <c r="B508" s="387">
        <v>46079</v>
      </c>
      <c r="C508" s="388">
        <v>46055</v>
      </c>
      <c r="D508" s="389" t="s">
        <v>248</v>
      </c>
      <c r="E508" s="398" t="s">
        <v>592</v>
      </c>
      <c r="F508" s="404">
        <v>523.79999999999995</v>
      </c>
      <c r="G508" s="397" t="s">
        <v>1374</v>
      </c>
      <c r="H508" s="389" t="s">
        <v>737</v>
      </c>
      <c r="I508" s="398" t="s">
        <v>1153</v>
      </c>
      <c r="J508" s="399" t="s">
        <v>1154</v>
      </c>
      <c r="K508" s="390" t="str">
        <f t="shared" si="22"/>
        <v>XXX144740001XX</v>
      </c>
      <c r="L508" s="391" t="s">
        <v>1996</v>
      </c>
      <c r="M508" s="398" t="s">
        <v>719</v>
      </c>
      <c r="N508" s="399">
        <v>295</v>
      </c>
      <c r="O508" s="399" t="s">
        <v>1181</v>
      </c>
      <c r="P508" s="398" t="s">
        <v>868</v>
      </c>
    </row>
    <row r="509" spans="1:16" s="401" customFormat="1" ht="36">
      <c r="A509" s="452">
        <f t="shared" si="21"/>
        <v>506</v>
      </c>
      <c r="B509" s="387">
        <v>46079</v>
      </c>
      <c r="C509" s="388">
        <v>46055</v>
      </c>
      <c r="D509" s="389" t="s">
        <v>248</v>
      </c>
      <c r="E509" s="395" t="s">
        <v>87</v>
      </c>
      <c r="F509" s="404">
        <v>497</v>
      </c>
      <c r="G509" s="397" t="s">
        <v>1375</v>
      </c>
      <c r="H509" s="389" t="s">
        <v>278</v>
      </c>
      <c r="I509" s="398" t="s">
        <v>1155</v>
      </c>
      <c r="J509" s="399" t="s">
        <v>1156</v>
      </c>
      <c r="K509" s="390" t="str">
        <f t="shared" si="22"/>
        <v>XXX512050001XX</v>
      </c>
      <c r="L509" s="391" t="s">
        <v>1996</v>
      </c>
      <c r="M509" s="398" t="s">
        <v>704</v>
      </c>
      <c r="N509" s="399">
        <v>135846</v>
      </c>
      <c r="O509" s="399" t="s">
        <v>1191</v>
      </c>
      <c r="P509" s="398" t="s">
        <v>574</v>
      </c>
    </row>
    <row r="510" spans="1:16" s="401" customFormat="1" ht="36">
      <c r="A510" s="452">
        <f t="shared" si="21"/>
        <v>507</v>
      </c>
      <c r="B510" s="387">
        <v>46079</v>
      </c>
      <c r="C510" s="388">
        <v>46055</v>
      </c>
      <c r="D510" s="389" t="s">
        <v>248</v>
      </c>
      <c r="E510" s="398" t="s">
        <v>601</v>
      </c>
      <c r="F510" s="404">
        <v>10910.27</v>
      </c>
      <c r="G510" s="397" t="s">
        <v>1376</v>
      </c>
      <c r="H510" s="389" t="s">
        <v>278</v>
      </c>
      <c r="I510" s="398" t="s">
        <v>643</v>
      </c>
      <c r="J510" s="399" t="s">
        <v>644</v>
      </c>
      <c r="K510" s="390" t="str">
        <f t="shared" si="22"/>
        <v>XXX156600001XX</v>
      </c>
      <c r="L510" s="391" t="s">
        <v>1996</v>
      </c>
      <c r="M510" s="398" t="s">
        <v>719</v>
      </c>
      <c r="N510" s="399">
        <v>147</v>
      </c>
      <c r="O510" s="399" t="s">
        <v>1198</v>
      </c>
      <c r="P510" s="398" t="s">
        <v>868</v>
      </c>
    </row>
    <row r="511" spans="1:16" s="401" customFormat="1" ht="60">
      <c r="A511" s="452">
        <f t="shared" si="21"/>
        <v>508</v>
      </c>
      <c r="B511" s="387">
        <v>46079</v>
      </c>
      <c r="C511" s="388">
        <v>46055</v>
      </c>
      <c r="D511" s="389" t="s">
        <v>248</v>
      </c>
      <c r="E511" s="395" t="s">
        <v>78</v>
      </c>
      <c r="F511" s="404">
        <v>681.45</v>
      </c>
      <c r="G511" s="397" t="s">
        <v>1377</v>
      </c>
      <c r="H511" s="389" t="s">
        <v>278</v>
      </c>
      <c r="I511" s="398" t="s">
        <v>1157</v>
      </c>
      <c r="J511" s="399" t="s">
        <v>1158</v>
      </c>
      <c r="K511" s="390" t="str">
        <f t="shared" si="22"/>
        <v>XXX748870001XX</v>
      </c>
      <c r="L511" s="391" t="s">
        <v>1996</v>
      </c>
      <c r="M511" s="398" t="s">
        <v>708</v>
      </c>
      <c r="N511" s="399">
        <v>133</v>
      </c>
      <c r="O511" s="399" t="s">
        <v>1196</v>
      </c>
      <c r="P511" s="398" t="s">
        <v>574</v>
      </c>
    </row>
    <row r="512" spans="1:16" s="401" customFormat="1" ht="60">
      <c r="A512" s="452">
        <f t="shared" si="21"/>
        <v>509</v>
      </c>
      <c r="B512" s="387">
        <v>46079</v>
      </c>
      <c r="C512" s="388">
        <v>46055</v>
      </c>
      <c r="D512" s="389" t="s">
        <v>248</v>
      </c>
      <c r="E512" s="395" t="s">
        <v>78</v>
      </c>
      <c r="F512" s="404">
        <v>681.45</v>
      </c>
      <c r="G512" s="397" t="s">
        <v>1378</v>
      </c>
      <c r="H512" s="389" t="s">
        <v>278</v>
      </c>
      <c r="I512" s="398" t="s">
        <v>1157</v>
      </c>
      <c r="J512" s="399" t="s">
        <v>1158</v>
      </c>
      <c r="K512" s="390" t="str">
        <f t="shared" si="22"/>
        <v>XXX748870001XX</v>
      </c>
      <c r="L512" s="391" t="s">
        <v>1996</v>
      </c>
      <c r="M512" s="398" t="s">
        <v>708</v>
      </c>
      <c r="N512" s="399">
        <v>134</v>
      </c>
      <c r="O512" s="399" t="s">
        <v>1196</v>
      </c>
      <c r="P512" s="398" t="s">
        <v>574</v>
      </c>
    </row>
    <row r="513" spans="1:16" s="401" customFormat="1" ht="60">
      <c r="A513" s="452">
        <f t="shared" si="21"/>
        <v>510</v>
      </c>
      <c r="B513" s="387">
        <v>46079</v>
      </c>
      <c r="C513" s="388">
        <v>46055</v>
      </c>
      <c r="D513" s="389" t="s">
        <v>248</v>
      </c>
      <c r="E513" s="398" t="s">
        <v>596</v>
      </c>
      <c r="F513" s="404">
        <v>1330</v>
      </c>
      <c r="G513" s="397" t="s">
        <v>1379</v>
      </c>
      <c r="H513" s="389" t="s">
        <v>737</v>
      </c>
      <c r="I513" s="398" t="s">
        <v>662</v>
      </c>
      <c r="J513" s="399" t="s">
        <v>663</v>
      </c>
      <c r="K513" s="390" t="str">
        <f t="shared" si="22"/>
        <v>XXX901370001XX</v>
      </c>
      <c r="L513" s="391" t="s">
        <v>1996</v>
      </c>
      <c r="M513" s="398" t="s">
        <v>708</v>
      </c>
      <c r="N513" s="399">
        <v>288</v>
      </c>
      <c r="O513" s="399" t="s">
        <v>1195</v>
      </c>
      <c r="P513" s="398" t="s">
        <v>574</v>
      </c>
    </row>
    <row r="514" spans="1:16" s="401" customFormat="1" ht="60">
      <c r="A514" s="452">
        <f t="shared" si="21"/>
        <v>511</v>
      </c>
      <c r="B514" s="387">
        <v>46079</v>
      </c>
      <c r="C514" s="388">
        <v>46055</v>
      </c>
      <c r="D514" s="389" t="s">
        <v>248</v>
      </c>
      <c r="E514" s="398" t="s">
        <v>606</v>
      </c>
      <c r="F514" s="404">
        <v>3000</v>
      </c>
      <c r="G514" s="397" t="s">
        <v>1380</v>
      </c>
      <c r="H514" s="389" t="s">
        <v>737</v>
      </c>
      <c r="I514" s="398" t="s">
        <v>1159</v>
      </c>
      <c r="J514" s="399" t="s">
        <v>1160</v>
      </c>
      <c r="K514" s="390" t="str">
        <f t="shared" si="22"/>
        <v>XXX287000001XX</v>
      </c>
      <c r="L514" s="391" t="s">
        <v>1996</v>
      </c>
      <c r="M514" s="398" t="s">
        <v>707</v>
      </c>
      <c r="N514" s="399">
        <v>9</v>
      </c>
      <c r="O514" s="399" t="s">
        <v>1195</v>
      </c>
      <c r="P514" s="398" t="s">
        <v>868</v>
      </c>
    </row>
    <row r="515" spans="1:16" s="401" customFormat="1" ht="48">
      <c r="A515" s="452">
        <f t="shared" si="21"/>
        <v>512</v>
      </c>
      <c r="B515" s="387">
        <v>46079</v>
      </c>
      <c r="C515" s="388">
        <v>46055</v>
      </c>
      <c r="D515" s="389" t="s">
        <v>248</v>
      </c>
      <c r="E515" s="398" t="s">
        <v>1219</v>
      </c>
      <c r="F515" s="404">
        <v>1020</v>
      </c>
      <c r="G515" s="397" t="s">
        <v>1381</v>
      </c>
      <c r="H515" s="389" t="s">
        <v>736</v>
      </c>
      <c r="I515" s="398" t="s">
        <v>1161</v>
      </c>
      <c r="J515" s="399" t="s">
        <v>1162</v>
      </c>
      <c r="K515" s="390" t="str">
        <f t="shared" si="22"/>
        <v>XXX824370001XX</v>
      </c>
      <c r="L515" s="391" t="s">
        <v>1996</v>
      </c>
      <c r="M515" s="398" t="s">
        <v>707</v>
      </c>
      <c r="N515" s="399">
        <v>124</v>
      </c>
      <c r="O515" s="399" t="s">
        <v>1195</v>
      </c>
      <c r="P515" s="398" t="s">
        <v>868</v>
      </c>
    </row>
    <row r="516" spans="1:16" s="401" customFormat="1" ht="36">
      <c r="A516" s="452">
        <f t="shared" ref="A516:A579" si="23">IF(B516="","",ROW()-ROW($A$3))</f>
        <v>513</v>
      </c>
      <c r="B516" s="387">
        <v>46079</v>
      </c>
      <c r="C516" s="388">
        <v>46055</v>
      </c>
      <c r="D516" s="389" t="s">
        <v>248</v>
      </c>
      <c r="E516" s="398" t="s">
        <v>1215</v>
      </c>
      <c r="F516" s="404">
        <v>902</v>
      </c>
      <c r="G516" s="397" t="s">
        <v>1319</v>
      </c>
      <c r="H516" s="389" t="s">
        <v>278</v>
      </c>
      <c r="I516" s="398" t="s">
        <v>1163</v>
      </c>
      <c r="J516" s="399" t="s">
        <v>1164</v>
      </c>
      <c r="K516" s="390" t="str">
        <f t="shared" si="22"/>
        <v>XXX82920220 XX</v>
      </c>
      <c r="L516" s="391" t="s">
        <v>1996</v>
      </c>
      <c r="M516" s="398" t="s">
        <v>708</v>
      </c>
      <c r="N516" s="399">
        <v>74191</v>
      </c>
      <c r="O516" s="399" t="s">
        <v>1195</v>
      </c>
      <c r="P516" s="398" t="s">
        <v>574</v>
      </c>
    </row>
    <row r="517" spans="1:16" s="401" customFormat="1" ht="84">
      <c r="A517" s="452">
        <f t="shared" si="23"/>
        <v>514</v>
      </c>
      <c r="B517" s="387">
        <v>46079</v>
      </c>
      <c r="C517" s="388">
        <v>46055</v>
      </c>
      <c r="D517" s="389" t="s">
        <v>248</v>
      </c>
      <c r="E517" s="398" t="s">
        <v>596</v>
      </c>
      <c r="F517" s="404">
        <v>11361.03</v>
      </c>
      <c r="G517" s="397" t="s">
        <v>1382</v>
      </c>
      <c r="H517" s="389" t="s">
        <v>737</v>
      </c>
      <c r="I517" s="398" t="s">
        <v>1040</v>
      </c>
      <c r="J517" s="399" t="s">
        <v>1041</v>
      </c>
      <c r="K517" s="390" t="str">
        <f t="shared" si="22"/>
        <v>XXX820800001XX</v>
      </c>
      <c r="L517" s="391" t="s">
        <v>1996</v>
      </c>
      <c r="M517" s="398" t="s">
        <v>707</v>
      </c>
      <c r="N517" s="399">
        <v>12</v>
      </c>
      <c r="O517" s="399" t="s">
        <v>1199</v>
      </c>
      <c r="P517" s="398" t="s">
        <v>868</v>
      </c>
    </row>
    <row r="518" spans="1:16" s="401" customFormat="1" ht="36">
      <c r="A518" s="452">
        <f t="shared" si="23"/>
        <v>515</v>
      </c>
      <c r="B518" s="387">
        <v>46079</v>
      </c>
      <c r="C518" s="388">
        <v>46055</v>
      </c>
      <c r="D518" s="389" t="s">
        <v>248</v>
      </c>
      <c r="E518" s="398" t="s">
        <v>1211</v>
      </c>
      <c r="F518" s="404">
        <v>8075</v>
      </c>
      <c r="G518" s="397" t="s">
        <v>1383</v>
      </c>
      <c r="H518" s="389" t="s">
        <v>278</v>
      </c>
      <c r="I518" s="398" t="s">
        <v>1165</v>
      </c>
      <c r="J518" s="399" t="s">
        <v>1166</v>
      </c>
      <c r="K518" s="390" t="str">
        <f t="shared" si="22"/>
        <v>XXX502630001XX</v>
      </c>
      <c r="L518" s="391" t="s">
        <v>1996</v>
      </c>
      <c r="M518" s="398" t="s">
        <v>707</v>
      </c>
      <c r="N518" s="399">
        <v>13</v>
      </c>
      <c r="O518" s="399" t="s">
        <v>1199</v>
      </c>
      <c r="P518" s="398" t="s">
        <v>868</v>
      </c>
    </row>
    <row r="519" spans="1:16" s="401" customFormat="1" ht="36">
      <c r="A519" s="452">
        <f t="shared" si="23"/>
        <v>516</v>
      </c>
      <c r="B519" s="387">
        <v>46079</v>
      </c>
      <c r="C519" s="388">
        <v>46055</v>
      </c>
      <c r="D519" s="389" t="s">
        <v>248</v>
      </c>
      <c r="E519" s="398" t="s">
        <v>606</v>
      </c>
      <c r="F519" s="404">
        <v>4586.67</v>
      </c>
      <c r="G519" s="397" t="s">
        <v>1384</v>
      </c>
      <c r="H519" s="389" t="s">
        <v>737</v>
      </c>
      <c r="I519" s="398" t="s">
        <v>871</v>
      </c>
      <c r="J519" s="399" t="s">
        <v>872</v>
      </c>
      <c r="K519" s="390" t="str">
        <f t="shared" si="22"/>
        <v>XXX833910001XX</v>
      </c>
      <c r="L519" s="391" t="s">
        <v>1996</v>
      </c>
      <c r="M519" s="398" t="s">
        <v>719</v>
      </c>
      <c r="N519" s="399">
        <v>17</v>
      </c>
      <c r="O519" s="399" t="s">
        <v>1199</v>
      </c>
      <c r="P519" s="398" t="s">
        <v>868</v>
      </c>
    </row>
    <row r="520" spans="1:16" s="401" customFormat="1" ht="60">
      <c r="A520" s="452">
        <f t="shared" si="23"/>
        <v>517</v>
      </c>
      <c r="B520" s="387">
        <v>46079</v>
      </c>
      <c r="C520" s="388">
        <v>46055</v>
      </c>
      <c r="D520" s="389" t="s">
        <v>248</v>
      </c>
      <c r="E520" s="398" t="s">
        <v>595</v>
      </c>
      <c r="F520" s="404">
        <v>19974.169999999998</v>
      </c>
      <c r="G520" s="397" t="s">
        <v>1364</v>
      </c>
      <c r="H520" s="389" t="s">
        <v>278</v>
      </c>
      <c r="I520" s="398" t="s">
        <v>1050</v>
      </c>
      <c r="J520" s="399" t="s">
        <v>1051</v>
      </c>
      <c r="K520" s="390" t="str">
        <f t="shared" si="22"/>
        <v>XXX019880001XX</v>
      </c>
      <c r="L520" s="391" t="s">
        <v>1996</v>
      </c>
      <c r="M520" s="398" t="s">
        <v>708</v>
      </c>
      <c r="N520" s="399">
        <v>9</v>
      </c>
      <c r="O520" s="399" t="s">
        <v>1195</v>
      </c>
      <c r="P520" s="398" t="s">
        <v>574</v>
      </c>
    </row>
    <row r="521" spans="1:16" s="401" customFormat="1" ht="36">
      <c r="A521" s="452">
        <f t="shared" si="23"/>
        <v>518</v>
      </c>
      <c r="B521" s="387">
        <v>46079</v>
      </c>
      <c r="C521" s="388">
        <v>46055</v>
      </c>
      <c r="D521" s="389" t="s">
        <v>248</v>
      </c>
      <c r="E521" s="398" t="s">
        <v>582</v>
      </c>
      <c r="F521" s="404">
        <v>1858.35</v>
      </c>
      <c r="G521" s="397" t="s">
        <v>1385</v>
      </c>
      <c r="H521" s="389" t="s">
        <v>737</v>
      </c>
      <c r="I521" s="398" t="s">
        <v>613</v>
      </c>
      <c r="J521" s="399" t="s">
        <v>773</v>
      </c>
      <c r="K521" s="390" t="str">
        <f t="shared" si="22"/>
        <v>XXX000000000XX</v>
      </c>
      <c r="L521" s="391" t="s">
        <v>1996</v>
      </c>
      <c r="M521" s="398" t="s">
        <v>704</v>
      </c>
      <c r="N521" s="399">
        <v>25939899</v>
      </c>
      <c r="O521" s="399" t="s">
        <v>1178</v>
      </c>
      <c r="P521" s="398" t="s">
        <v>574</v>
      </c>
    </row>
    <row r="522" spans="1:16" s="401" customFormat="1" ht="36">
      <c r="A522" s="452">
        <f t="shared" si="23"/>
        <v>519</v>
      </c>
      <c r="B522" s="387">
        <v>46079</v>
      </c>
      <c r="C522" s="388">
        <v>46055</v>
      </c>
      <c r="D522" s="389" t="s">
        <v>248</v>
      </c>
      <c r="E522" s="398" t="s">
        <v>1219</v>
      </c>
      <c r="F522" s="404">
        <v>665</v>
      </c>
      <c r="G522" s="397" t="s">
        <v>1386</v>
      </c>
      <c r="H522" s="389" t="s">
        <v>736</v>
      </c>
      <c r="I522" s="398" t="s">
        <v>1167</v>
      </c>
      <c r="J522" s="399" t="s">
        <v>1168</v>
      </c>
      <c r="K522" s="390" t="str">
        <f t="shared" si="22"/>
        <v>XXX73468836 XX</v>
      </c>
      <c r="L522" s="391" t="s">
        <v>1996</v>
      </c>
      <c r="M522" s="398" t="s">
        <v>719</v>
      </c>
      <c r="N522" s="399">
        <v>23</v>
      </c>
      <c r="O522" s="399" t="s">
        <v>1200</v>
      </c>
      <c r="P522" s="398" t="s">
        <v>868</v>
      </c>
    </row>
    <row r="523" spans="1:16" s="401" customFormat="1" ht="96">
      <c r="A523" s="452">
        <f t="shared" si="23"/>
        <v>520</v>
      </c>
      <c r="B523" s="387">
        <v>46079</v>
      </c>
      <c r="C523" s="388">
        <v>46055</v>
      </c>
      <c r="D523" s="389" t="s">
        <v>248</v>
      </c>
      <c r="E523" s="398" t="s">
        <v>610</v>
      </c>
      <c r="F523" s="404">
        <v>1244.8399999999999</v>
      </c>
      <c r="G523" s="397" t="s">
        <v>1387</v>
      </c>
      <c r="H523" s="389" t="s">
        <v>736</v>
      </c>
      <c r="I523" s="398" t="s">
        <v>686</v>
      </c>
      <c r="J523" s="399" t="s">
        <v>687</v>
      </c>
      <c r="K523" s="390" t="str">
        <f t="shared" si="22"/>
        <v>XXX900500001XX</v>
      </c>
      <c r="L523" s="391" t="s">
        <v>1996</v>
      </c>
      <c r="M523" s="398" t="s">
        <v>719</v>
      </c>
      <c r="N523" s="399">
        <v>37176</v>
      </c>
      <c r="O523" s="399" t="s">
        <v>1196</v>
      </c>
      <c r="P523" s="398" t="s">
        <v>868</v>
      </c>
    </row>
    <row r="524" spans="1:16" s="401" customFormat="1" ht="36">
      <c r="A524" s="452">
        <f t="shared" si="23"/>
        <v>521</v>
      </c>
      <c r="B524" s="387">
        <v>46079</v>
      </c>
      <c r="C524" s="388">
        <v>46055</v>
      </c>
      <c r="D524" s="389" t="s">
        <v>248</v>
      </c>
      <c r="E524" s="398" t="s">
        <v>606</v>
      </c>
      <c r="F524" s="404">
        <v>4091.43</v>
      </c>
      <c r="G524" s="397" t="s">
        <v>1388</v>
      </c>
      <c r="H524" s="389" t="s">
        <v>737</v>
      </c>
      <c r="I524" s="398" t="s">
        <v>1119</v>
      </c>
      <c r="J524" s="399" t="s">
        <v>1120</v>
      </c>
      <c r="K524" s="390" t="str">
        <f t="shared" si="22"/>
        <v>XXX07677660 XX</v>
      </c>
      <c r="L524" s="391" t="s">
        <v>1996</v>
      </c>
      <c r="M524" s="398" t="s">
        <v>719</v>
      </c>
      <c r="N524" s="399">
        <v>166</v>
      </c>
      <c r="O524" s="399" t="s">
        <v>1197</v>
      </c>
      <c r="P524" s="398" t="s">
        <v>868</v>
      </c>
    </row>
    <row r="525" spans="1:16" s="401" customFormat="1" ht="96">
      <c r="A525" s="452">
        <f t="shared" si="23"/>
        <v>522</v>
      </c>
      <c r="B525" s="387">
        <v>46079</v>
      </c>
      <c r="C525" s="388">
        <v>46055</v>
      </c>
      <c r="D525" s="389" t="s">
        <v>248</v>
      </c>
      <c r="E525" s="393" t="s">
        <v>164</v>
      </c>
      <c r="F525" s="404">
        <v>12780</v>
      </c>
      <c r="G525" s="397" t="s">
        <v>1389</v>
      </c>
      <c r="H525" s="389" t="s">
        <v>737</v>
      </c>
      <c r="I525" s="398" t="s">
        <v>1169</v>
      </c>
      <c r="J525" s="399" t="s">
        <v>773</v>
      </c>
      <c r="K525" s="390" t="str">
        <f t="shared" si="22"/>
        <v>XXX000000000XX</v>
      </c>
      <c r="L525" s="391" t="s">
        <v>1996</v>
      </c>
      <c r="M525" s="398" t="s">
        <v>704</v>
      </c>
      <c r="N525" s="399">
        <v>41673</v>
      </c>
      <c r="O525" s="399" t="s">
        <v>1185</v>
      </c>
      <c r="P525" s="398" t="s">
        <v>574</v>
      </c>
    </row>
    <row r="526" spans="1:16" s="401" customFormat="1" ht="86.25" customHeight="1">
      <c r="A526" s="452">
        <f t="shared" si="23"/>
        <v>523</v>
      </c>
      <c r="B526" s="387">
        <v>46079</v>
      </c>
      <c r="C526" s="388">
        <v>46055</v>
      </c>
      <c r="D526" s="389" t="s">
        <v>248</v>
      </c>
      <c r="E526" s="398" t="s">
        <v>758</v>
      </c>
      <c r="F526" s="404">
        <v>75755.87</v>
      </c>
      <c r="G526" s="397" t="s">
        <v>1390</v>
      </c>
      <c r="H526" s="389" t="s">
        <v>738</v>
      </c>
      <c r="I526" s="398" t="s">
        <v>700</v>
      </c>
      <c r="J526" s="399" t="s">
        <v>701</v>
      </c>
      <c r="K526" s="390" t="str">
        <f t="shared" si="22"/>
        <v>XXX759440001XX</v>
      </c>
      <c r="L526" s="391" t="s">
        <v>1996</v>
      </c>
      <c r="M526" s="398" t="s">
        <v>708</v>
      </c>
      <c r="N526" s="399">
        <v>162</v>
      </c>
      <c r="O526" s="399" t="s">
        <v>1195</v>
      </c>
      <c r="P526" s="398" t="s">
        <v>574</v>
      </c>
    </row>
    <row r="527" spans="1:16" s="401" customFormat="1" ht="36">
      <c r="A527" s="452">
        <f t="shared" si="23"/>
        <v>524</v>
      </c>
      <c r="B527" s="387">
        <v>46079</v>
      </c>
      <c r="C527" s="388">
        <v>46055</v>
      </c>
      <c r="D527" s="389" t="s">
        <v>353</v>
      </c>
      <c r="E527" s="394" t="s">
        <v>153</v>
      </c>
      <c r="F527" s="404">
        <v>49165.31</v>
      </c>
      <c r="G527" s="397" t="s">
        <v>821</v>
      </c>
      <c r="H527" s="389" t="s">
        <v>280</v>
      </c>
      <c r="I527" s="394" t="s">
        <v>744</v>
      </c>
      <c r="J527" s="455">
        <v>7837375000150</v>
      </c>
      <c r="K527" s="390" t="str">
        <f t="shared" si="22"/>
        <v>XXX737500015XX</v>
      </c>
      <c r="L527" s="391" t="s">
        <v>1996</v>
      </c>
      <c r="M527" s="398" t="s">
        <v>706</v>
      </c>
      <c r="N527" s="399">
        <v>26022026</v>
      </c>
      <c r="O527" s="399" t="s">
        <v>1201</v>
      </c>
      <c r="P527" s="398" t="s">
        <v>574</v>
      </c>
    </row>
    <row r="528" spans="1:16" s="401" customFormat="1" ht="36">
      <c r="A528" s="452">
        <f t="shared" si="23"/>
        <v>525</v>
      </c>
      <c r="B528" s="387">
        <v>46079</v>
      </c>
      <c r="C528" s="388">
        <v>46055</v>
      </c>
      <c r="D528" s="389" t="s">
        <v>132</v>
      </c>
      <c r="E528" s="398" t="s">
        <v>1220</v>
      </c>
      <c r="F528" s="404">
        <v>17.489999999999998</v>
      </c>
      <c r="G528" s="397" t="s">
        <v>1391</v>
      </c>
      <c r="H528" s="389" t="s">
        <v>736</v>
      </c>
      <c r="I528" s="398" t="s">
        <v>624</v>
      </c>
      <c r="J528" s="399" t="s">
        <v>625</v>
      </c>
      <c r="K528" s="390" t="str">
        <f t="shared" si="22"/>
        <v>XXX924510001XX</v>
      </c>
      <c r="L528" s="391" t="s">
        <v>1996</v>
      </c>
      <c r="M528" s="398" t="s">
        <v>709</v>
      </c>
      <c r="N528" s="399">
        <v>11172784</v>
      </c>
      <c r="O528" s="399" t="s">
        <v>1202</v>
      </c>
      <c r="P528" s="398" t="s">
        <v>574</v>
      </c>
    </row>
    <row r="529" spans="1:16" s="401" customFormat="1" ht="36">
      <c r="A529" s="452">
        <f t="shared" si="23"/>
        <v>526</v>
      </c>
      <c r="B529" s="387">
        <v>46079</v>
      </c>
      <c r="C529" s="388">
        <v>46055</v>
      </c>
      <c r="D529" s="389" t="s">
        <v>132</v>
      </c>
      <c r="E529" s="398" t="s">
        <v>1220</v>
      </c>
      <c r="F529" s="404">
        <v>499.44</v>
      </c>
      <c r="G529" s="397" t="s">
        <v>1391</v>
      </c>
      <c r="H529" s="389" t="s">
        <v>736</v>
      </c>
      <c r="I529" s="398" t="s">
        <v>1170</v>
      </c>
      <c r="J529" s="399" t="s">
        <v>773</v>
      </c>
      <c r="K529" s="390" t="str">
        <f t="shared" si="22"/>
        <v>XXX000000000XX</v>
      </c>
      <c r="L529" s="391" t="s">
        <v>1996</v>
      </c>
      <c r="M529" s="398" t="s">
        <v>704</v>
      </c>
      <c r="N529" s="399">
        <v>11172784</v>
      </c>
      <c r="O529" s="399" t="s">
        <v>1202</v>
      </c>
      <c r="P529" s="398" t="s">
        <v>574</v>
      </c>
    </row>
    <row r="530" spans="1:16" s="401" customFormat="1" ht="36">
      <c r="A530" s="452">
        <f t="shared" si="23"/>
        <v>527</v>
      </c>
      <c r="B530" s="387">
        <v>46079</v>
      </c>
      <c r="C530" s="388">
        <v>46055</v>
      </c>
      <c r="D530" s="389" t="s">
        <v>132</v>
      </c>
      <c r="E530" s="398" t="s">
        <v>1220</v>
      </c>
      <c r="F530" s="404">
        <v>17.489999999999998</v>
      </c>
      <c r="G530" s="397" t="s">
        <v>1392</v>
      </c>
      <c r="H530" s="389" t="s">
        <v>736</v>
      </c>
      <c r="I530" s="398" t="s">
        <v>624</v>
      </c>
      <c r="J530" s="399" t="s">
        <v>625</v>
      </c>
      <c r="K530" s="399" t="s">
        <v>280</v>
      </c>
      <c r="L530" s="391" t="s">
        <v>1996</v>
      </c>
      <c r="M530" s="398" t="s">
        <v>709</v>
      </c>
      <c r="N530" s="399">
        <v>5043400</v>
      </c>
      <c r="O530" s="399" t="s">
        <v>1196</v>
      </c>
      <c r="P530" s="398" t="s">
        <v>574</v>
      </c>
    </row>
    <row r="531" spans="1:16" s="401" customFormat="1" ht="36">
      <c r="A531" s="452">
        <f t="shared" si="23"/>
        <v>528</v>
      </c>
      <c r="B531" s="387">
        <v>46079</v>
      </c>
      <c r="C531" s="388">
        <v>46055</v>
      </c>
      <c r="D531" s="389" t="s">
        <v>132</v>
      </c>
      <c r="E531" s="398" t="s">
        <v>1220</v>
      </c>
      <c r="F531" s="404">
        <v>499.5</v>
      </c>
      <c r="G531" s="397" t="s">
        <v>1392</v>
      </c>
      <c r="H531" s="389" t="s">
        <v>736</v>
      </c>
      <c r="I531" s="398" t="s">
        <v>1171</v>
      </c>
      <c r="J531" s="399" t="s">
        <v>773</v>
      </c>
      <c r="K531" s="390" t="str">
        <f t="shared" si="22"/>
        <v>XXX000000000XX</v>
      </c>
      <c r="L531" s="391" t="s">
        <v>1996</v>
      </c>
      <c r="M531" s="398" t="s">
        <v>704</v>
      </c>
      <c r="N531" s="399">
        <v>5043400</v>
      </c>
      <c r="O531" s="399" t="s">
        <v>1196</v>
      </c>
      <c r="P531" s="398" t="s">
        <v>574</v>
      </c>
    </row>
    <row r="532" spans="1:16" s="401" customFormat="1" ht="36">
      <c r="A532" s="452">
        <f t="shared" si="23"/>
        <v>529</v>
      </c>
      <c r="B532" s="387">
        <v>46079</v>
      </c>
      <c r="C532" s="388">
        <v>46055</v>
      </c>
      <c r="D532" s="389" t="s">
        <v>132</v>
      </c>
      <c r="E532" s="398" t="s">
        <v>1220</v>
      </c>
      <c r="F532" s="404">
        <v>14.57</v>
      </c>
      <c r="G532" s="397" t="s">
        <v>1393</v>
      </c>
      <c r="H532" s="389" t="s">
        <v>736</v>
      </c>
      <c r="I532" s="398" t="s">
        <v>624</v>
      </c>
      <c r="J532" s="399" t="s">
        <v>625</v>
      </c>
      <c r="K532" s="390" t="str">
        <f t="shared" si="22"/>
        <v>XXX924510001XX</v>
      </c>
      <c r="L532" s="391" t="s">
        <v>1996</v>
      </c>
      <c r="M532" s="398" t="s">
        <v>709</v>
      </c>
      <c r="N532" s="399">
        <v>5043402</v>
      </c>
      <c r="O532" s="399" t="s">
        <v>1196</v>
      </c>
      <c r="P532" s="398" t="s">
        <v>574</v>
      </c>
    </row>
    <row r="533" spans="1:16" s="401" customFormat="1" ht="36">
      <c r="A533" s="452">
        <f t="shared" si="23"/>
        <v>530</v>
      </c>
      <c r="B533" s="387">
        <v>46079</v>
      </c>
      <c r="C533" s="388">
        <v>46055</v>
      </c>
      <c r="D533" s="389" t="s">
        <v>132</v>
      </c>
      <c r="E533" s="398" t="s">
        <v>1220</v>
      </c>
      <c r="F533" s="404">
        <v>416.25</v>
      </c>
      <c r="G533" s="397" t="s">
        <v>1393</v>
      </c>
      <c r="H533" s="389" t="s">
        <v>736</v>
      </c>
      <c r="I533" s="398" t="s">
        <v>1171</v>
      </c>
      <c r="J533" s="399" t="s">
        <v>773</v>
      </c>
      <c r="K533" s="390" t="str">
        <f t="shared" si="22"/>
        <v>XXX000000000XX</v>
      </c>
      <c r="L533" s="391" t="s">
        <v>1996</v>
      </c>
      <c r="M533" s="398" t="s">
        <v>704</v>
      </c>
      <c r="N533" s="399">
        <v>5043402</v>
      </c>
      <c r="O533" s="399" t="s">
        <v>1196</v>
      </c>
      <c r="P533" s="398" t="s">
        <v>574</v>
      </c>
    </row>
    <row r="534" spans="1:16" s="401" customFormat="1" ht="36">
      <c r="A534" s="452">
        <f t="shared" si="23"/>
        <v>531</v>
      </c>
      <c r="B534" s="387">
        <v>46079</v>
      </c>
      <c r="C534" s="388">
        <v>46055</v>
      </c>
      <c r="D534" s="389" t="s">
        <v>132</v>
      </c>
      <c r="E534" s="398" t="s">
        <v>1220</v>
      </c>
      <c r="F534" s="404">
        <v>34.01</v>
      </c>
      <c r="G534" s="397" t="s">
        <v>1394</v>
      </c>
      <c r="H534" s="389" t="s">
        <v>736</v>
      </c>
      <c r="I534" s="398" t="s">
        <v>624</v>
      </c>
      <c r="J534" s="399" t="s">
        <v>625</v>
      </c>
      <c r="K534" s="390" t="str">
        <f t="shared" si="22"/>
        <v>XXX924510001XX</v>
      </c>
      <c r="L534" s="391" t="s">
        <v>1996</v>
      </c>
      <c r="M534" s="398" t="s">
        <v>709</v>
      </c>
      <c r="N534" s="399">
        <v>2027</v>
      </c>
      <c r="O534" s="399" t="s">
        <v>1196</v>
      </c>
      <c r="P534" s="398" t="s">
        <v>574</v>
      </c>
    </row>
    <row r="535" spans="1:16" s="401" customFormat="1" ht="36">
      <c r="A535" s="452">
        <f t="shared" si="23"/>
        <v>532</v>
      </c>
      <c r="B535" s="387">
        <v>46079</v>
      </c>
      <c r="C535" s="388">
        <v>46055</v>
      </c>
      <c r="D535" s="389" t="s">
        <v>132</v>
      </c>
      <c r="E535" s="398" t="s">
        <v>1220</v>
      </c>
      <c r="F535" s="404">
        <v>971.25</v>
      </c>
      <c r="G535" s="397" t="s">
        <v>1394</v>
      </c>
      <c r="H535" s="389" t="s">
        <v>736</v>
      </c>
      <c r="I535" s="398" t="s">
        <v>1172</v>
      </c>
      <c r="J535" s="399" t="s">
        <v>773</v>
      </c>
      <c r="K535" s="390" t="str">
        <f t="shared" si="22"/>
        <v>XXX000000000XX</v>
      </c>
      <c r="L535" s="391" t="s">
        <v>1996</v>
      </c>
      <c r="M535" s="398" t="s">
        <v>704</v>
      </c>
      <c r="N535" s="399">
        <v>2027</v>
      </c>
      <c r="O535" s="399" t="s">
        <v>1196</v>
      </c>
      <c r="P535" s="398" t="s">
        <v>574</v>
      </c>
    </row>
    <row r="536" spans="1:16" s="401" customFormat="1" ht="48">
      <c r="A536" s="452">
        <f t="shared" si="23"/>
        <v>533</v>
      </c>
      <c r="B536" s="387">
        <v>46079</v>
      </c>
      <c r="C536" s="388">
        <v>46055</v>
      </c>
      <c r="D536" s="389" t="s">
        <v>248</v>
      </c>
      <c r="E536" s="395" t="s">
        <v>87</v>
      </c>
      <c r="F536" s="404">
        <v>267</v>
      </c>
      <c r="G536" s="397" t="s">
        <v>1395</v>
      </c>
      <c r="H536" s="389" t="s">
        <v>278</v>
      </c>
      <c r="I536" s="398" t="s">
        <v>1173</v>
      </c>
      <c r="J536" s="399" t="s">
        <v>1174</v>
      </c>
      <c r="K536" s="390" t="str">
        <f t="shared" si="22"/>
        <v>XXX390630001XX</v>
      </c>
      <c r="L536" s="391" t="s">
        <v>1996</v>
      </c>
      <c r="M536" s="398" t="s">
        <v>704</v>
      </c>
      <c r="N536" s="399">
        <v>7079</v>
      </c>
      <c r="O536" s="399" t="s">
        <v>1181</v>
      </c>
      <c r="P536" s="398" t="s">
        <v>574</v>
      </c>
    </row>
    <row r="537" spans="1:16" s="401" customFormat="1" ht="36">
      <c r="A537" s="452">
        <f t="shared" si="23"/>
        <v>534</v>
      </c>
      <c r="B537" s="387">
        <v>46079</v>
      </c>
      <c r="C537" s="388">
        <v>46055</v>
      </c>
      <c r="D537" s="389" t="s">
        <v>132</v>
      </c>
      <c r="E537" s="398" t="s">
        <v>1220</v>
      </c>
      <c r="F537" s="404">
        <v>9.23</v>
      </c>
      <c r="G537" s="397" t="s">
        <v>1396</v>
      </c>
      <c r="H537" s="389" t="s">
        <v>736</v>
      </c>
      <c r="I537" s="398" t="s">
        <v>624</v>
      </c>
      <c r="J537" s="399" t="s">
        <v>625</v>
      </c>
      <c r="K537" s="390" t="str">
        <f t="shared" si="22"/>
        <v>XXX924510001XX</v>
      </c>
      <c r="L537" s="391" t="s">
        <v>1996</v>
      </c>
      <c r="M537" s="398" t="s">
        <v>709</v>
      </c>
      <c r="N537" s="399">
        <v>86490007</v>
      </c>
      <c r="O537" s="399" t="s">
        <v>1202</v>
      </c>
      <c r="P537" s="398" t="s">
        <v>574</v>
      </c>
    </row>
    <row r="538" spans="1:16" s="401" customFormat="1" ht="36">
      <c r="A538" s="452">
        <f t="shared" si="23"/>
        <v>535</v>
      </c>
      <c r="B538" s="387">
        <v>46079</v>
      </c>
      <c r="C538" s="388">
        <v>46055</v>
      </c>
      <c r="D538" s="389" t="s">
        <v>132</v>
      </c>
      <c r="E538" s="398" t="s">
        <v>1220</v>
      </c>
      <c r="F538" s="404">
        <v>263.57</v>
      </c>
      <c r="G538" s="397" t="s">
        <v>1396</v>
      </c>
      <c r="H538" s="389" t="s">
        <v>736</v>
      </c>
      <c r="I538" s="398" t="s">
        <v>1175</v>
      </c>
      <c r="J538" s="399" t="s">
        <v>773</v>
      </c>
      <c r="K538" s="390" t="str">
        <f t="shared" si="22"/>
        <v>XXX000000000XX</v>
      </c>
      <c r="L538" s="391" t="s">
        <v>1996</v>
      </c>
      <c r="M538" s="398" t="s">
        <v>704</v>
      </c>
      <c r="N538" s="399">
        <v>86490007</v>
      </c>
      <c r="O538" s="399" t="s">
        <v>1202</v>
      </c>
      <c r="P538" s="398" t="s">
        <v>574</v>
      </c>
    </row>
    <row r="539" spans="1:16" s="401" customFormat="1" ht="48">
      <c r="A539" s="452">
        <f t="shared" si="23"/>
        <v>536</v>
      </c>
      <c r="B539" s="387">
        <v>46079</v>
      </c>
      <c r="C539" s="388">
        <v>46055</v>
      </c>
      <c r="D539" s="389" t="s">
        <v>353</v>
      </c>
      <c r="E539" s="394" t="s">
        <v>153</v>
      </c>
      <c r="F539" s="404">
        <v>3240</v>
      </c>
      <c r="G539" s="397" t="s">
        <v>1397</v>
      </c>
      <c r="H539" s="389" t="s">
        <v>280</v>
      </c>
      <c r="I539" s="394" t="s">
        <v>744</v>
      </c>
      <c r="J539" s="455">
        <v>7837375000150</v>
      </c>
      <c r="K539" s="390" t="str">
        <f t="shared" si="22"/>
        <v>XXX737500015XX</v>
      </c>
      <c r="L539" s="391" t="s">
        <v>1996</v>
      </c>
      <c r="M539" s="398" t="s">
        <v>1207</v>
      </c>
      <c r="N539" s="399">
        <v>3</v>
      </c>
      <c r="O539" s="399" t="s">
        <v>1201</v>
      </c>
      <c r="P539" s="398" t="s">
        <v>574</v>
      </c>
    </row>
    <row r="540" spans="1:16" s="401" customFormat="1" ht="48">
      <c r="A540" s="452">
        <f t="shared" si="23"/>
        <v>537</v>
      </c>
      <c r="B540" s="387">
        <v>46079</v>
      </c>
      <c r="C540" s="388">
        <v>46055</v>
      </c>
      <c r="D540" s="389" t="s">
        <v>248</v>
      </c>
      <c r="E540" s="398" t="s">
        <v>597</v>
      </c>
      <c r="F540" s="404">
        <v>9.77</v>
      </c>
      <c r="G540" s="397" t="s">
        <v>1398</v>
      </c>
      <c r="H540" s="389" t="s">
        <v>278</v>
      </c>
      <c r="I540" s="398" t="s">
        <v>624</v>
      </c>
      <c r="J540" s="399" t="s">
        <v>625</v>
      </c>
      <c r="K540" s="390" t="str">
        <f t="shared" si="22"/>
        <v>XXX924510001XX</v>
      </c>
      <c r="L540" s="391" t="s">
        <v>1996</v>
      </c>
      <c r="M540" s="398" t="s">
        <v>709</v>
      </c>
      <c r="N540" s="399">
        <v>268345744</v>
      </c>
      <c r="O540" s="399" t="s">
        <v>1178</v>
      </c>
      <c r="P540" s="398" t="s">
        <v>574</v>
      </c>
    </row>
    <row r="541" spans="1:16" s="401" customFormat="1" ht="48">
      <c r="A541" s="452">
        <f t="shared" si="23"/>
        <v>538</v>
      </c>
      <c r="B541" s="387">
        <v>46079</v>
      </c>
      <c r="C541" s="388">
        <v>46055</v>
      </c>
      <c r="D541" s="389" t="s">
        <v>248</v>
      </c>
      <c r="E541" s="398" t="s">
        <v>597</v>
      </c>
      <c r="F541" s="404">
        <v>279</v>
      </c>
      <c r="G541" s="397" t="s">
        <v>1398</v>
      </c>
      <c r="H541" s="389" t="s">
        <v>278</v>
      </c>
      <c r="I541" s="398" t="s">
        <v>1176</v>
      </c>
      <c r="J541" s="399" t="s">
        <v>773</v>
      </c>
      <c r="K541" s="390" t="str">
        <f t="shared" ref="K541:K583" si="24">IF(J541="","",IF(LEN(J541)&gt;14,IF(ISBLANK(J541),"",J541),REPLACE(REPLACE(J541,1,3,"XXX"),13,2,"XX")))</f>
        <v>XXX000000000XX</v>
      </c>
      <c r="L541" s="391" t="s">
        <v>1996</v>
      </c>
      <c r="M541" s="398" t="s">
        <v>704</v>
      </c>
      <c r="N541" s="399">
        <v>268345744</v>
      </c>
      <c r="O541" s="399" t="s">
        <v>1178</v>
      </c>
      <c r="P541" s="398" t="s">
        <v>574</v>
      </c>
    </row>
    <row r="542" spans="1:16" s="401" customFormat="1" ht="36">
      <c r="A542" s="452">
        <f t="shared" si="23"/>
        <v>539</v>
      </c>
      <c r="B542" s="387">
        <v>46079</v>
      </c>
      <c r="C542" s="388">
        <v>46055</v>
      </c>
      <c r="D542" s="389" t="s">
        <v>248</v>
      </c>
      <c r="E542" s="398" t="s">
        <v>588</v>
      </c>
      <c r="F542" s="404">
        <v>103.56</v>
      </c>
      <c r="G542" s="397" t="s">
        <v>1399</v>
      </c>
      <c r="H542" s="389" t="s">
        <v>278</v>
      </c>
      <c r="I542" s="398" t="s">
        <v>630</v>
      </c>
      <c r="J542" s="399" t="s">
        <v>631</v>
      </c>
      <c r="K542" s="390" t="str">
        <f t="shared" si="24"/>
        <v>XXX956460001XX</v>
      </c>
      <c r="L542" s="391" t="s">
        <v>1996</v>
      </c>
      <c r="M542" s="398" t="s">
        <v>704</v>
      </c>
      <c r="N542" s="399">
        <v>973</v>
      </c>
      <c r="O542" s="399" t="s">
        <v>1180</v>
      </c>
      <c r="P542" s="398" t="s">
        <v>574</v>
      </c>
    </row>
    <row r="543" spans="1:16" s="401" customFormat="1" ht="84">
      <c r="A543" s="452">
        <f t="shared" si="23"/>
        <v>540</v>
      </c>
      <c r="B543" s="387">
        <v>46080</v>
      </c>
      <c r="C543" s="388">
        <v>46055</v>
      </c>
      <c r="D543" s="389" t="s">
        <v>248</v>
      </c>
      <c r="E543" s="398" t="s">
        <v>597</v>
      </c>
      <c r="F543" s="404">
        <v>1630.97</v>
      </c>
      <c r="G543" s="397" t="s">
        <v>1400</v>
      </c>
      <c r="H543" s="389" t="s">
        <v>278</v>
      </c>
      <c r="I543" s="398" t="s">
        <v>1125</v>
      </c>
      <c r="J543" s="399" t="s">
        <v>1126</v>
      </c>
      <c r="K543" s="390" t="str">
        <f t="shared" si="24"/>
        <v>XXX128300001XX</v>
      </c>
      <c r="L543" s="391" t="s">
        <v>1996</v>
      </c>
      <c r="M543" s="398" t="s">
        <v>704</v>
      </c>
      <c r="N543" s="399">
        <v>2245</v>
      </c>
      <c r="O543" s="399" t="s">
        <v>1182</v>
      </c>
      <c r="P543" s="398" t="s">
        <v>574</v>
      </c>
    </row>
    <row r="544" spans="1:16" s="401" customFormat="1" ht="36">
      <c r="A544" s="452">
        <f t="shared" si="23"/>
        <v>541</v>
      </c>
      <c r="B544" s="387">
        <v>46080</v>
      </c>
      <c r="C544" s="388">
        <v>46055</v>
      </c>
      <c r="D544" s="389" t="s">
        <v>353</v>
      </c>
      <c r="E544" s="394" t="s">
        <v>334</v>
      </c>
      <c r="F544" s="404">
        <v>10955.08</v>
      </c>
      <c r="G544" s="397" t="s">
        <v>1401</v>
      </c>
      <c r="H544" s="389" t="s">
        <v>280</v>
      </c>
      <c r="I544" s="394" t="s">
        <v>744</v>
      </c>
      <c r="J544" s="455">
        <v>7837375000150</v>
      </c>
      <c r="K544" s="390" t="str">
        <f t="shared" si="24"/>
        <v>XXX737500015XX</v>
      </c>
      <c r="L544" s="391" t="s">
        <v>1996</v>
      </c>
      <c r="M544" s="398" t="s">
        <v>727</v>
      </c>
      <c r="N544" s="399">
        <v>566775155</v>
      </c>
      <c r="O544" s="399" t="s">
        <v>1202</v>
      </c>
      <c r="P544" s="398" t="s">
        <v>574</v>
      </c>
    </row>
    <row r="545" spans="1:16" s="401" customFormat="1" ht="48">
      <c r="A545" s="452">
        <f t="shared" si="23"/>
        <v>542</v>
      </c>
      <c r="B545" s="387">
        <v>46080</v>
      </c>
      <c r="C545" s="388">
        <v>46055</v>
      </c>
      <c r="D545" s="389" t="s">
        <v>353</v>
      </c>
      <c r="E545" s="394" t="s">
        <v>334</v>
      </c>
      <c r="F545" s="404">
        <v>-41.63</v>
      </c>
      <c r="G545" s="397" t="s">
        <v>1402</v>
      </c>
      <c r="H545" s="389" t="s">
        <v>280</v>
      </c>
      <c r="I545" s="394" t="s">
        <v>744</v>
      </c>
      <c r="J545" s="455">
        <v>7837375000150</v>
      </c>
      <c r="K545" s="390" t="str">
        <f t="shared" si="24"/>
        <v>XXX737500015XX</v>
      </c>
      <c r="L545" s="391" t="s">
        <v>1996</v>
      </c>
      <c r="M545" s="398" t="s">
        <v>752</v>
      </c>
      <c r="N545" s="399">
        <v>566775155</v>
      </c>
      <c r="O545" s="399" t="s">
        <v>1202</v>
      </c>
      <c r="P545" s="398" t="s">
        <v>574</v>
      </c>
    </row>
    <row r="546" spans="1:16" s="401" customFormat="1" ht="36">
      <c r="A546" s="452">
        <f t="shared" si="23"/>
        <v>543</v>
      </c>
      <c r="B546" s="387">
        <v>46080</v>
      </c>
      <c r="C546" s="388">
        <v>46055</v>
      </c>
      <c r="D546" s="389" t="s">
        <v>353</v>
      </c>
      <c r="E546" s="394" t="s">
        <v>334</v>
      </c>
      <c r="F546" s="404">
        <v>800</v>
      </c>
      <c r="G546" s="397" t="s">
        <v>1403</v>
      </c>
      <c r="H546" s="389" t="s">
        <v>280</v>
      </c>
      <c r="I546" s="394" t="s">
        <v>744</v>
      </c>
      <c r="J546" s="455">
        <v>7837375000150</v>
      </c>
      <c r="K546" s="390" t="str">
        <f t="shared" si="24"/>
        <v>XXX737500015XX</v>
      </c>
      <c r="L546" s="391" t="s">
        <v>1996</v>
      </c>
      <c r="M546" s="398" t="s">
        <v>707</v>
      </c>
      <c r="N546" s="399">
        <v>22026</v>
      </c>
      <c r="O546" s="399" t="s">
        <v>1202</v>
      </c>
      <c r="P546" s="398" t="s">
        <v>574</v>
      </c>
    </row>
    <row r="547" spans="1:16" s="401" customFormat="1" ht="48">
      <c r="A547" s="452">
        <f t="shared" si="23"/>
        <v>544</v>
      </c>
      <c r="B547" s="387">
        <v>46080</v>
      </c>
      <c r="C547" s="388">
        <v>46055</v>
      </c>
      <c r="D547" s="389" t="s">
        <v>166</v>
      </c>
      <c r="E547" s="395" t="s">
        <v>457</v>
      </c>
      <c r="F547" s="404">
        <v>-863.46</v>
      </c>
      <c r="G547" s="397" t="s">
        <v>1404</v>
      </c>
      <c r="H547" s="389" t="s">
        <v>166</v>
      </c>
      <c r="I547" s="398" t="s">
        <v>1165</v>
      </c>
      <c r="J547" s="399" t="s">
        <v>1166</v>
      </c>
      <c r="K547" s="390" t="str">
        <f t="shared" si="24"/>
        <v>XXX502630001XX</v>
      </c>
      <c r="L547" s="391" t="s">
        <v>1996</v>
      </c>
      <c r="M547" s="398" t="s">
        <v>708</v>
      </c>
      <c r="N547" s="399">
        <v>22026</v>
      </c>
      <c r="O547" s="399" t="s">
        <v>1202</v>
      </c>
      <c r="P547" s="398" t="s">
        <v>574</v>
      </c>
    </row>
    <row r="548" spans="1:16" s="401" customFormat="1" ht="48">
      <c r="A548" s="452">
        <f t="shared" si="23"/>
        <v>545</v>
      </c>
      <c r="B548" s="387">
        <v>46080</v>
      </c>
      <c r="C548" s="388">
        <v>46055</v>
      </c>
      <c r="D548" s="389" t="s">
        <v>248</v>
      </c>
      <c r="E548" s="398" t="s">
        <v>610</v>
      </c>
      <c r="F548" s="404">
        <v>12.5</v>
      </c>
      <c r="G548" s="397" t="s">
        <v>1405</v>
      </c>
      <c r="H548" s="389" t="s">
        <v>736</v>
      </c>
      <c r="I548" s="398" t="s">
        <v>881</v>
      </c>
      <c r="J548" s="399" t="s">
        <v>773</v>
      </c>
      <c r="K548" s="390" t="str">
        <f t="shared" si="24"/>
        <v>XXX000000000XX</v>
      </c>
      <c r="L548" s="391" t="s">
        <v>1996</v>
      </c>
      <c r="M548" s="398" t="s">
        <v>710</v>
      </c>
      <c r="N548" s="399">
        <v>74439</v>
      </c>
      <c r="O548" s="399" t="s">
        <v>1202</v>
      </c>
      <c r="P548" s="398" t="s">
        <v>735</v>
      </c>
    </row>
    <row r="549" spans="1:16" s="401" customFormat="1" ht="48">
      <c r="A549" s="452">
        <f t="shared" si="23"/>
        <v>546</v>
      </c>
      <c r="B549" s="387">
        <v>46080</v>
      </c>
      <c r="C549" s="388">
        <v>46055</v>
      </c>
      <c r="D549" s="389" t="s">
        <v>248</v>
      </c>
      <c r="E549" s="398" t="s">
        <v>607</v>
      </c>
      <c r="F549" s="404">
        <v>49.11</v>
      </c>
      <c r="G549" s="397" t="s">
        <v>1406</v>
      </c>
      <c r="H549" s="389" t="s">
        <v>736</v>
      </c>
      <c r="I549" s="398" t="s">
        <v>881</v>
      </c>
      <c r="J549" s="399" t="s">
        <v>773</v>
      </c>
      <c r="K549" s="390" t="str">
        <f t="shared" si="24"/>
        <v>XXX000000000XX</v>
      </c>
      <c r="L549" s="391" t="s">
        <v>1996</v>
      </c>
      <c r="M549" s="398" t="s">
        <v>710</v>
      </c>
      <c r="N549" s="399">
        <v>198711</v>
      </c>
      <c r="O549" s="399" t="s">
        <v>1202</v>
      </c>
      <c r="P549" s="398" t="s">
        <v>735</v>
      </c>
    </row>
    <row r="550" spans="1:16" s="401" customFormat="1" ht="48">
      <c r="A550" s="452">
        <f t="shared" si="23"/>
        <v>547</v>
      </c>
      <c r="B550" s="387">
        <v>46080</v>
      </c>
      <c r="C550" s="388">
        <v>46055</v>
      </c>
      <c r="D550" s="389" t="s">
        <v>248</v>
      </c>
      <c r="E550" s="398" t="s">
        <v>597</v>
      </c>
      <c r="F550" s="404">
        <v>25.5</v>
      </c>
      <c r="G550" s="397" t="s">
        <v>1407</v>
      </c>
      <c r="H550" s="392" t="s">
        <v>278</v>
      </c>
      <c r="I550" s="398" t="s">
        <v>881</v>
      </c>
      <c r="J550" s="399" t="s">
        <v>773</v>
      </c>
      <c r="K550" s="390" t="str">
        <f t="shared" si="24"/>
        <v>XXX000000000XX</v>
      </c>
      <c r="L550" s="391" t="s">
        <v>1996</v>
      </c>
      <c r="M550" s="398" t="s">
        <v>710</v>
      </c>
      <c r="N550" s="399">
        <v>1460296</v>
      </c>
      <c r="O550" s="399" t="s">
        <v>1202</v>
      </c>
      <c r="P550" s="398" t="s">
        <v>735</v>
      </c>
    </row>
    <row r="551" spans="1:16" s="401" customFormat="1" ht="60">
      <c r="A551" s="452">
        <f t="shared" si="23"/>
        <v>548</v>
      </c>
      <c r="B551" s="387">
        <v>46080</v>
      </c>
      <c r="C551" s="388">
        <v>46055</v>
      </c>
      <c r="D551" s="389" t="s">
        <v>248</v>
      </c>
      <c r="E551" s="398" t="s">
        <v>605</v>
      </c>
      <c r="F551" s="404">
        <v>99.75</v>
      </c>
      <c r="G551" s="397" t="s">
        <v>1408</v>
      </c>
      <c r="H551" s="392" t="s">
        <v>278</v>
      </c>
      <c r="I551" s="398" t="s">
        <v>881</v>
      </c>
      <c r="J551" s="399" t="s">
        <v>773</v>
      </c>
      <c r="K551" s="390" t="str">
        <f t="shared" si="24"/>
        <v>XXX000000000XX</v>
      </c>
      <c r="L551" s="391" t="s">
        <v>1996</v>
      </c>
      <c r="M551" s="398" t="s">
        <v>710</v>
      </c>
      <c r="N551" s="399">
        <v>84354</v>
      </c>
      <c r="O551" s="399" t="s">
        <v>1202</v>
      </c>
      <c r="P551" s="398" t="s">
        <v>735</v>
      </c>
    </row>
    <row r="552" spans="1:16" s="401" customFormat="1" ht="36">
      <c r="A552" s="452">
        <f t="shared" si="23"/>
        <v>549</v>
      </c>
      <c r="B552" s="387">
        <v>46081</v>
      </c>
      <c r="C552" s="388">
        <v>46055</v>
      </c>
      <c r="D552" s="389" t="s">
        <v>353</v>
      </c>
      <c r="E552" s="394" t="s">
        <v>336</v>
      </c>
      <c r="F552" s="404">
        <v>39502.42</v>
      </c>
      <c r="G552" s="397" t="s">
        <v>1409</v>
      </c>
      <c r="H552" s="389" t="s">
        <v>280</v>
      </c>
      <c r="I552" s="394" t="s">
        <v>744</v>
      </c>
      <c r="J552" s="455">
        <v>7837375000150</v>
      </c>
      <c r="K552" s="390" t="str">
        <f t="shared" si="24"/>
        <v>XXX737500015XX</v>
      </c>
      <c r="L552" s="391" t="s">
        <v>1996</v>
      </c>
      <c r="M552" s="398" t="s">
        <v>733</v>
      </c>
      <c r="N552" s="399">
        <v>22026</v>
      </c>
      <c r="O552" s="399" t="s">
        <v>1180</v>
      </c>
      <c r="P552" s="398" t="s">
        <v>868</v>
      </c>
    </row>
    <row r="553" spans="1:16" s="401" customFormat="1" ht="36">
      <c r="A553" s="452">
        <f t="shared" si="23"/>
        <v>550</v>
      </c>
      <c r="B553" s="387">
        <v>46081</v>
      </c>
      <c r="C553" s="388">
        <v>46055</v>
      </c>
      <c r="D553" s="389" t="s">
        <v>353</v>
      </c>
      <c r="E553" s="394" t="s">
        <v>336</v>
      </c>
      <c r="F553" s="404">
        <v>-509.27</v>
      </c>
      <c r="G553" s="397" t="s">
        <v>1410</v>
      </c>
      <c r="H553" s="389" t="s">
        <v>280</v>
      </c>
      <c r="I553" s="394" t="s">
        <v>744</v>
      </c>
      <c r="J553" s="455">
        <v>7837375000150</v>
      </c>
      <c r="K553" s="390" t="str">
        <f t="shared" si="24"/>
        <v>XXX737500015XX</v>
      </c>
      <c r="L553" s="391" t="s">
        <v>1996</v>
      </c>
      <c r="M553" s="398" t="s">
        <v>731</v>
      </c>
      <c r="N553" s="399">
        <v>22026</v>
      </c>
      <c r="O553" s="399" t="s">
        <v>1180</v>
      </c>
      <c r="P553" s="398" t="s">
        <v>868</v>
      </c>
    </row>
    <row r="554" spans="1:16" s="401" customFormat="1" ht="36">
      <c r="A554" s="452">
        <f t="shared" si="23"/>
        <v>551</v>
      </c>
      <c r="B554" s="387">
        <v>46081</v>
      </c>
      <c r="C554" s="388">
        <v>46055</v>
      </c>
      <c r="D554" s="389" t="s">
        <v>353</v>
      </c>
      <c r="E554" s="394" t="s">
        <v>336</v>
      </c>
      <c r="F554" s="404">
        <v>22358.7</v>
      </c>
      <c r="G554" s="397" t="s">
        <v>1024</v>
      </c>
      <c r="H554" s="389" t="s">
        <v>280</v>
      </c>
      <c r="I554" s="394" t="s">
        <v>744</v>
      </c>
      <c r="J554" s="455">
        <v>7837375000150</v>
      </c>
      <c r="K554" s="390" t="str">
        <f t="shared" si="24"/>
        <v>XXX737500015XX</v>
      </c>
      <c r="L554" s="391" t="s">
        <v>1996</v>
      </c>
      <c r="M554" s="398" t="s">
        <v>733</v>
      </c>
      <c r="N554" s="399">
        <v>22026</v>
      </c>
      <c r="O554" s="399" t="s">
        <v>1180</v>
      </c>
      <c r="P554" s="398" t="s">
        <v>576</v>
      </c>
    </row>
    <row r="555" spans="1:16" s="401" customFormat="1" ht="36">
      <c r="A555" s="452">
        <f t="shared" si="23"/>
        <v>552</v>
      </c>
      <c r="B555" s="387">
        <v>46081</v>
      </c>
      <c r="C555" s="388">
        <v>46055</v>
      </c>
      <c r="D555" s="389" t="s">
        <v>353</v>
      </c>
      <c r="E555" s="394" t="s">
        <v>336</v>
      </c>
      <c r="F555" s="404">
        <v>-11720.49</v>
      </c>
      <c r="G555" s="397" t="s">
        <v>1411</v>
      </c>
      <c r="H555" s="389" t="s">
        <v>280</v>
      </c>
      <c r="I555" s="394" t="s">
        <v>744</v>
      </c>
      <c r="J555" s="455">
        <v>7837375000150</v>
      </c>
      <c r="K555" s="390" t="str">
        <f t="shared" si="24"/>
        <v>XXX737500015XX</v>
      </c>
      <c r="L555" s="391" t="s">
        <v>1996</v>
      </c>
      <c r="M555" s="398" t="s">
        <v>731</v>
      </c>
      <c r="N555" s="399">
        <v>22026</v>
      </c>
      <c r="O555" s="399" t="s">
        <v>1180</v>
      </c>
      <c r="P555" s="398" t="s">
        <v>576</v>
      </c>
    </row>
    <row r="556" spans="1:16" s="401" customFormat="1" ht="24">
      <c r="A556" s="452">
        <f t="shared" si="23"/>
        <v>553</v>
      </c>
      <c r="B556" s="387">
        <v>46081</v>
      </c>
      <c r="C556" s="388">
        <v>46055</v>
      </c>
      <c r="D556" s="389" t="s">
        <v>353</v>
      </c>
      <c r="E556" s="394" t="s">
        <v>336</v>
      </c>
      <c r="F556" s="404">
        <v>807.17</v>
      </c>
      <c r="G556" s="397" t="s">
        <v>1412</v>
      </c>
      <c r="H556" s="389" t="s">
        <v>280</v>
      </c>
      <c r="I556" s="394" t="s">
        <v>744</v>
      </c>
      <c r="J556" s="455">
        <v>7837375000150</v>
      </c>
      <c r="K556" s="390" t="str">
        <f t="shared" si="24"/>
        <v>XXX737500015XX</v>
      </c>
      <c r="L556" s="391" t="s">
        <v>1996</v>
      </c>
      <c r="M556" s="398" t="s">
        <v>734</v>
      </c>
      <c r="N556" s="399">
        <v>22026</v>
      </c>
      <c r="O556" s="399" t="s">
        <v>1180</v>
      </c>
      <c r="P556" s="398" t="s">
        <v>573</v>
      </c>
    </row>
    <row r="557" spans="1:16" s="401" customFormat="1" ht="24">
      <c r="A557" s="452">
        <f t="shared" si="23"/>
        <v>554</v>
      </c>
      <c r="B557" s="387">
        <v>46081</v>
      </c>
      <c r="C557" s="388">
        <v>46055</v>
      </c>
      <c r="D557" s="389" t="s">
        <v>353</v>
      </c>
      <c r="E557" s="394" t="s">
        <v>336</v>
      </c>
      <c r="F557" s="404">
        <v>68516.14</v>
      </c>
      <c r="G557" s="397" t="s">
        <v>1412</v>
      </c>
      <c r="H557" s="389" t="s">
        <v>280</v>
      </c>
      <c r="I557" s="394" t="s">
        <v>744</v>
      </c>
      <c r="J557" s="455">
        <v>7837375000150</v>
      </c>
      <c r="K557" s="390" t="str">
        <f t="shared" si="24"/>
        <v>XXX737500015XX</v>
      </c>
      <c r="L557" s="391" t="s">
        <v>1996</v>
      </c>
      <c r="M557" s="398" t="s">
        <v>734</v>
      </c>
      <c r="N557" s="399">
        <v>22026</v>
      </c>
      <c r="O557" s="399" t="s">
        <v>1180</v>
      </c>
      <c r="P557" s="398" t="s">
        <v>573</v>
      </c>
    </row>
    <row r="558" spans="1:16" s="401" customFormat="1" ht="36">
      <c r="A558" s="452">
        <f t="shared" si="23"/>
        <v>555</v>
      </c>
      <c r="B558" s="387">
        <v>46081</v>
      </c>
      <c r="C558" s="388">
        <v>46055</v>
      </c>
      <c r="D558" s="389" t="s">
        <v>339</v>
      </c>
      <c r="E558" s="398" t="s">
        <v>339</v>
      </c>
      <c r="F558" s="404">
        <v>4982.1000000000004</v>
      </c>
      <c r="G558" s="397" t="s">
        <v>1412</v>
      </c>
      <c r="H558" s="389" t="s">
        <v>280</v>
      </c>
      <c r="I558" s="394" t="s">
        <v>744</v>
      </c>
      <c r="J558" s="455">
        <v>7837375000150</v>
      </c>
      <c r="K558" s="390" t="str">
        <f t="shared" si="24"/>
        <v>XXX737500015XX</v>
      </c>
      <c r="L558" s="391" t="s">
        <v>1996</v>
      </c>
      <c r="M558" s="398" t="s">
        <v>728</v>
      </c>
      <c r="N558" s="399">
        <v>22026</v>
      </c>
      <c r="O558" s="399" t="s">
        <v>1180</v>
      </c>
      <c r="P558" s="398" t="s">
        <v>574</v>
      </c>
    </row>
    <row r="559" spans="1:16" s="401" customFormat="1" ht="36">
      <c r="A559" s="452">
        <f t="shared" si="23"/>
        <v>556</v>
      </c>
      <c r="B559" s="387">
        <v>46081</v>
      </c>
      <c r="C559" s="388">
        <v>46055</v>
      </c>
      <c r="D559" s="389" t="s">
        <v>339</v>
      </c>
      <c r="E559" s="398" t="s">
        <v>339</v>
      </c>
      <c r="F559" s="404">
        <v>9376.49</v>
      </c>
      <c r="G559" s="397" t="s">
        <v>1412</v>
      </c>
      <c r="H559" s="389" t="s">
        <v>280</v>
      </c>
      <c r="I559" s="394" t="s">
        <v>744</v>
      </c>
      <c r="J559" s="455">
        <v>7837375000150</v>
      </c>
      <c r="K559" s="390" t="str">
        <f t="shared" si="24"/>
        <v>XXX737500015XX</v>
      </c>
      <c r="L559" s="391" t="s">
        <v>1996</v>
      </c>
      <c r="M559" s="398" t="s">
        <v>729</v>
      </c>
      <c r="N559" s="399">
        <v>22026</v>
      </c>
      <c r="O559" s="399" t="s">
        <v>1180</v>
      </c>
      <c r="P559" s="398" t="s">
        <v>572</v>
      </c>
    </row>
    <row r="560" spans="1:16" s="401" customFormat="1" ht="36">
      <c r="A560" s="452">
        <f t="shared" si="23"/>
        <v>557</v>
      </c>
      <c r="B560" s="387">
        <v>46081</v>
      </c>
      <c r="C560" s="388">
        <v>46055</v>
      </c>
      <c r="D560" s="389" t="s">
        <v>339</v>
      </c>
      <c r="E560" s="398" t="s">
        <v>339</v>
      </c>
      <c r="F560" s="404">
        <v>-716.2</v>
      </c>
      <c r="G560" s="397" t="s">
        <v>1413</v>
      </c>
      <c r="H560" s="389" t="s">
        <v>280</v>
      </c>
      <c r="I560" s="394" t="s">
        <v>744</v>
      </c>
      <c r="J560" s="455">
        <v>7837375000150</v>
      </c>
      <c r="K560" s="390" t="str">
        <f t="shared" si="24"/>
        <v>XXX737500015XX</v>
      </c>
      <c r="L560" s="391" t="s">
        <v>1996</v>
      </c>
      <c r="M560" s="398" t="s">
        <v>730</v>
      </c>
      <c r="N560" s="399">
        <v>22026</v>
      </c>
      <c r="O560" s="399" t="s">
        <v>1180</v>
      </c>
      <c r="P560" s="398" t="s">
        <v>572</v>
      </c>
    </row>
    <row r="561" spans="1:16" s="401" customFormat="1" ht="36">
      <c r="A561" s="452">
        <f t="shared" si="23"/>
        <v>558</v>
      </c>
      <c r="B561" s="387">
        <v>46081</v>
      </c>
      <c r="C561" s="388">
        <v>46055</v>
      </c>
      <c r="D561" s="389" t="s">
        <v>339</v>
      </c>
      <c r="E561" s="398" t="s">
        <v>339</v>
      </c>
      <c r="F561" s="404">
        <v>-2105.6</v>
      </c>
      <c r="G561" s="397" t="s">
        <v>1414</v>
      </c>
      <c r="H561" s="389" t="s">
        <v>280</v>
      </c>
      <c r="I561" s="394" t="s">
        <v>744</v>
      </c>
      <c r="J561" s="455">
        <v>7837375000150</v>
      </c>
      <c r="K561" s="390" t="str">
        <f t="shared" si="24"/>
        <v>XXX737500015XX</v>
      </c>
      <c r="L561" s="391" t="s">
        <v>1996</v>
      </c>
      <c r="M561" s="398" t="s">
        <v>753</v>
      </c>
      <c r="N561" s="399">
        <v>22026</v>
      </c>
      <c r="O561" s="399" t="s">
        <v>1180</v>
      </c>
      <c r="P561" s="398" t="s">
        <v>572</v>
      </c>
    </row>
    <row r="562" spans="1:16" s="401" customFormat="1" ht="36">
      <c r="A562" s="452">
        <f t="shared" si="23"/>
        <v>559</v>
      </c>
      <c r="B562" s="387">
        <v>46081</v>
      </c>
      <c r="C562" s="388">
        <v>46055</v>
      </c>
      <c r="D562" s="389" t="s">
        <v>353</v>
      </c>
      <c r="E562" s="394" t="s">
        <v>336</v>
      </c>
      <c r="F562" s="404">
        <v>171.95</v>
      </c>
      <c r="G562" s="397" t="s">
        <v>1412</v>
      </c>
      <c r="H562" s="389" t="s">
        <v>280</v>
      </c>
      <c r="I562" s="394" t="s">
        <v>744</v>
      </c>
      <c r="J562" s="455">
        <v>7837375000150</v>
      </c>
      <c r="K562" s="390" t="str">
        <f t="shared" si="24"/>
        <v>XXX737500015XX</v>
      </c>
      <c r="L562" s="391" t="s">
        <v>1996</v>
      </c>
      <c r="M562" s="398" t="s">
        <v>732</v>
      </c>
      <c r="N562" s="399">
        <v>22026</v>
      </c>
      <c r="O562" s="399" t="s">
        <v>1180</v>
      </c>
      <c r="P562" s="398" t="s">
        <v>797</v>
      </c>
    </row>
    <row r="563" spans="1:16" s="401" customFormat="1" ht="36">
      <c r="A563" s="452">
        <f t="shared" si="23"/>
        <v>560</v>
      </c>
      <c r="B563" s="387">
        <v>46083</v>
      </c>
      <c r="C563" s="388">
        <v>46055</v>
      </c>
      <c r="D563" s="389" t="s">
        <v>248</v>
      </c>
      <c r="E563" s="398" t="s">
        <v>597</v>
      </c>
      <c r="F563" s="404">
        <v>3153.5</v>
      </c>
      <c r="G563" s="397" t="s">
        <v>1565</v>
      </c>
      <c r="H563" s="389" t="s">
        <v>278</v>
      </c>
      <c r="I563" s="398" t="s">
        <v>1419</v>
      </c>
      <c r="J563" s="399" t="s">
        <v>1420</v>
      </c>
      <c r="K563" s="390" t="str">
        <f t="shared" si="24"/>
        <v>XXX029410001XX</v>
      </c>
      <c r="L563" s="391" t="s">
        <v>1996</v>
      </c>
      <c r="M563" s="398" t="s">
        <v>704</v>
      </c>
      <c r="N563" s="399">
        <v>221504</v>
      </c>
      <c r="O563" s="399" t="s">
        <v>1178</v>
      </c>
      <c r="P563" s="398" t="s">
        <v>1553</v>
      </c>
    </row>
    <row r="564" spans="1:16" s="401" customFormat="1" ht="36">
      <c r="A564" s="452">
        <f t="shared" si="23"/>
        <v>561</v>
      </c>
      <c r="B564" s="387">
        <v>46083</v>
      </c>
      <c r="C564" s="388">
        <v>46055</v>
      </c>
      <c r="D564" s="389" t="s">
        <v>248</v>
      </c>
      <c r="E564" s="395" t="s">
        <v>0</v>
      </c>
      <c r="F564" s="404">
        <v>79.900000000000006</v>
      </c>
      <c r="G564" s="397" t="s">
        <v>1566</v>
      </c>
      <c r="H564" s="389" t="s">
        <v>278</v>
      </c>
      <c r="I564" s="398" t="s">
        <v>1421</v>
      </c>
      <c r="J564" s="399" t="s">
        <v>1422</v>
      </c>
      <c r="K564" s="390" t="str">
        <f t="shared" si="24"/>
        <v>XXX838110034XX</v>
      </c>
      <c r="L564" s="391" t="s">
        <v>1996</v>
      </c>
      <c r="M564" s="398" t="s">
        <v>704</v>
      </c>
      <c r="N564" s="399">
        <v>415516</v>
      </c>
      <c r="O564" s="399" t="s">
        <v>1185</v>
      </c>
      <c r="P564" s="398" t="s">
        <v>1553</v>
      </c>
    </row>
    <row r="565" spans="1:16" s="401" customFormat="1" ht="36">
      <c r="A565" s="452">
        <f t="shared" si="23"/>
        <v>562</v>
      </c>
      <c r="B565" s="387">
        <v>46083</v>
      </c>
      <c r="C565" s="388">
        <v>46055</v>
      </c>
      <c r="D565" s="389" t="s">
        <v>248</v>
      </c>
      <c r="E565" s="398" t="s">
        <v>1208</v>
      </c>
      <c r="F565" s="404">
        <v>610.84</v>
      </c>
      <c r="G565" s="397" t="s">
        <v>1567</v>
      </c>
      <c r="H565" s="389" t="s">
        <v>278</v>
      </c>
      <c r="I565" s="398" t="s">
        <v>1046</v>
      </c>
      <c r="J565" s="399" t="s">
        <v>1047</v>
      </c>
      <c r="K565" s="390" t="str">
        <f t="shared" si="24"/>
        <v>XXX456080001XX</v>
      </c>
      <c r="L565" s="391" t="s">
        <v>1996</v>
      </c>
      <c r="M565" s="398" t="s">
        <v>704</v>
      </c>
      <c r="N565" s="399">
        <v>3200</v>
      </c>
      <c r="O565" s="399" t="s">
        <v>1188</v>
      </c>
      <c r="P565" s="398" t="s">
        <v>1553</v>
      </c>
    </row>
    <row r="566" spans="1:16" s="401" customFormat="1" ht="36">
      <c r="A566" s="452">
        <f t="shared" si="23"/>
        <v>563</v>
      </c>
      <c r="B566" s="387">
        <v>46083</v>
      </c>
      <c r="C566" s="388">
        <v>46055</v>
      </c>
      <c r="D566" s="389" t="s">
        <v>248</v>
      </c>
      <c r="E566" s="393" t="s">
        <v>167</v>
      </c>
      <c r="F566" s="404">
        <v>1129.32</v>
      </c>
      <c r="G566" s="397" t="s">
        <v>1568</v>
      </c>
      <c r="H566" s="389" t="s">
        <v>278</v>
      </c>
      <c r="I566" s="398" t="s">
        <v>702</v>
      </c>
      <c r="J566" s="399" t="s">
        <v>703</v>
      </c>
      <c r="K566" s="390" t="str">
        <f t="shared" si="24"/>
        <v>XXX805100001XX</v>
      </c>
      <c r="L566" s="391" t="s">
        <v>1996</v>
      </c>
      <c r="M566" s="398" t="s">
        <v>704</v>
      </c>
      <c r="N566" s="399">
        <v>451</v>
      </c>
      <c r="O566" s="399" t="s">
        <v>1519</v>
      </c>
      <c r="P566" s="398" t="s">
        <v>1554</v>
      </c>
    </row>
    <row r="567" spans="1:16" s="401" customFormat="1" ht="60">
      <c r="A567" s="452">
        <f t="shared" si="23"/>
        <v>564</v>
      </c>
      <c r="B567" s="387">
        <v>46083</v>
      </c>
      <c r="C567" s="388">
        <v>46083</v>
      </c>
      <c r="D567" s="389" t="s">
        <v>353</v>
      </c>
      <c r="E567" s="398" t="s">
        <v>587</v>
      </c>
      <c r="F567" s="404">
        <v>-100</v>
      </c>
      <c r="G567" s="397" t="s">
        <v>1569</v>
      </c>
      <c r="H567" s="389" t="s">
        <v>280</v>
      </c>
      <c r="I567" s="394" t="s">
        <v>744</v>
      </c>
      <c r="J567" s="455">
        <v>7837375000150</v>
      </c>
      <c r="K567" s="390" t="str">
        <f t="shared" si="24"/>
        <v>XXX737500015XX</v>
      </c>
      <c r="L567" s="391" t="s">
        <v>1996</v>
      </c>
      <c r="M567" s="398" t="s">
        <v>708</v>
      </c>
      <c r="N567" s="399">
        <v>32026</v>
      </c>
      <c r="O567" s="399" t="s">
        <v>1520</v>
      </c>
      <c r="P567" s="398" t="s">
        <v>1553</v>
      </c>
    </row>
    <row r="568" spans="1:16" s="401" customFormat="1" ht="36">
      <c r="A568" s="452">
        <f t="shared" si="23"/>
        <v>565</v>
      </c>
      <c r="B568" s="387">
        <v>46083</v>
      </c>
      <c r="C568" s="388">
        <v>46083</v>
      </c>
      <c r="D568" s="389" t="s">
        <v>248</v>
      </c>
      <c r="E568" s="398" t="s">
        <v>590</v>
      </c>
      <c r="F568" s="404">
        <v>15815.2</v>
      </c>
      <c r="G568" s="397" t="s">
        <v>1570</v>
      </c>
      <c r="H568" s="389" t="s">
        <v>736</v>
      </c>
      <c r="I568" s="398" t="s">
        <v>1100</v>
      </c>
      <c r="J568" s="399" t="s">
        <v>773</v>
      </c>
      <c r="K568" s="390" t="str">
        <f t="shared" si="24"/>
        <v>XXX000000000XX</v>
      </c>
      <c r="L568" s="391" t="s">
        <v>1996</v>
      </c>
      <c r="M568" s="398" t="s">
        <v>727</v>
      </c>
      <c r="N568" s="399">
        <v>567165455</v>
      </c>
      <c r="O568" s="399" t="s">
        <v>1520</v>
      </c>
      <c r="P568" s="398" t="s">
        <v>1553</v>
      </c>
    </row>
    <row r="569" spans="1:16" s="401" customFormat="1" ht="36">
      <c r="A569" s="452">
        <f t="shared" si="23"/>
        <v>566</v>
      </c>
      <c r="B569" s="387">
        <v>46083</v>
      </c>
      <c r="C569" s="388">
        <v>46083</v>
      </c>
      <c r="D569" s="389" t="s">
        <v>248</v>
      </c>
      <c r="E569" s="398" t="s">
        <v>590</v>
      </c>
      <c r="F569" s="404">
        <v>553.53</v>
      </c>
      <c r="G569" s="397" t="s">
        <v>1570</v>
      </c>
      <c r="H569" s="389" t="s">
        <v>736</v>
      </c>
      <c r="I569" s="398" t="s">
        <v>690</v>
      </c>
      <c r="J569" s="399" t="s">
        <v>691</v>
      </c>
      <c r="K569" s="390" t="str">
        <f t="shared" si="24"/>
        <v>XXX011900001XX</v>
      </c>
      <c r="L569" s="391" t="s">
        <v>1996</v>
      </c>
      <c r="M569" s="398" t="s">
        <v>1203</v>
      </c>
      <c r="N569" s="399">
        <v>567165455</v>
      </c>
      <c r="O569" s="399" t="s">
        <v>1520</v>
      </c>
      <c r="P569" s="398" t="s">
        <v>1553</v>
      </c>
    </row>
    <row r="570" spans="1:16" s="401" customFormat="1" ht="48">
      <c r="A570" s="452">
        <f t="shared" si="23"/>
        <v>567</v>
      </c>
      <c r="B570" s="387">
        <v>46083</v>
      </c>
      <c r="C570" s="388">
        <v>46083</v>
      </c>
      <c r="D570" s="389" t="s">
        <v>353</v>
      </c>
      <c r="E570" s="394" t="s">
        <v>153</v>
      </c>
      <c r="F570" s="404">
        <v>276.77999999999997</v>
      </c>
      <c r="G570" s="397" t="s">
        <v>1571</v>
      </c>
      <c r="H570" s="389" t="s">
        <v>280</v>
      </c>
      <c r="I570" s="394" t="s">
        <v>744</v>
      </c>
      <c r="J570" s="455">
        <v>7837375000150</v>
      </c>
      <c r="K570" s="390" t="str">
        <f t="shared" si="24"/>
        <v>XXX737500015XX</v>
      </c>
      <c r="L570" s="391" t="s">
        <v>1996</v>
      </c>
      <c r="M570" s="398" t="s">
        <v>707</v>
      </c>
      <c r="N570" s="399">
        <v>32026</v>
      </c>
      <c r="O570" s="399" t="s">
        <v>1521</v>
      </c>
      <c r="P570" s="398" t="s">
        <v>1553</v>
      </c>
    </row>
    <row r="571" spans="1:16" s="401" customFormat="1" ht="24">
      <c r="A571" s="452">
        <f t="shared" si="23"/>
        <v>568</v>
      </c>
      <c r="B571" s="387">
        <v>46084</v>
      </c>
      <c r="C571" s="388">
        <v>46055</v>
      </c>
      <c r="D571" s="389" t="s">
        <v>248</v>
      </c>
      <c r="E571" s="395" t="s">
        <v>477</v>
      </c>
      <c r="F571" s="404">
        <v>3541.76</v>
      </c>
      <c r="G571" s="397" t="s">
        <v>1572</v>
      </c>
      <c r="H571" s="389" t="s">
        <v>738</v>
      </c>
      <c r="I571" s="398" t="s">
        <v>1048</v>
      </c>
      <c r="J571" s="399" t="s">
        <v>1049</v>
      </c>
      <c r="K571" s="390" t="str">
        <f t="shared" si="24"/>
        <v>XXX832530001XX</v>
      </c>
      <c r="L571" s="391" t="s">
        <v>1996</v>
      </c>
      <c r="M571" s="398" t="s">
        <v>704</v>
      </c>
      <c r="N571" s="399">
        <v>306</v>
      </c>
      <c r="O571" s="399" t="s">
        <v>1199</v>
      </c>
      <c r="P571" s="398" t="s">
        <v>1554</v>
      </c>
    </row>
    <row r="572" spans="1:16" s="401" customFormat="1" ht="36">
      <c r="A572" s="452">
        <f t="shared" si="23"/>
        <v>569</v>
      </c>
      <c r="B572" s="387">
        <v>46084</v>
      </c>
      <c r="C572" s="388">
        <v>46083</v>
      </c>
      <c r="D572" s="389" t="s">
        <v>248</v>
      </c>
      <c r="E572" s="398" t="s">
        <v>742</v>
      </c>
      <c r="F572" s="404">
        <v>1486.08</v>
      </c>
      <c r="G572" s="397" t="s">
        <v>1573</v>
      </c>
      <c r="H572" s="389" t="s">
        <v>278</v>
      </c>
      <c r="I572" s="398" t="s">
        <v>1423</v>
      </c>
      <c r="J572" s="399" t="s">
        <v>1424</v>
      </c>
      <c r="K572" s="390" t="str">
        <f t="shared" si="24"/>
        <v>XXX680720001XX</v>
      </c>
      <c r="L572" s="391" t="s">
        <v>1996</v>
      </c>
      <c r="M572" s="398" t="s">
        <v>707</v>
      </c>
      <c r="N572" s="399">
        <v>715454</v>
      </c>
      <c r="O572" s="399" t="s">
        <v>1520</v>
      </c>
      <c r="P572" s="398" t="s">
        <v>1553</v>
      </c>
    </row>
    <row r="573" spans="1:16" s="401" customFormat="1" ht="36">
      <c r="A573" s="452">
        <f t="shared" si="23"/>
        <v>570</v>
      </c>
      <c r="B573" s="387">
        <v>46085</v>
      </c>
      <c r="C573" s="388">
        <v>46055</v>
      </c>
      <c r="D573" s="389" t="s">
        <v>248</v>
      </c>
      <c r="E573" s="398" t="s">
        <v>597</v>
      </c>
      <c r="F573" s="404">
        <v>1608.56</v>
      </c>
      <c r="G573" s="397" t="s">
        <v>1574</v>
      </c>
      <c r="H573" s="389" t="s">
        <v>738</v>
      </c>
      <c r="I573" s="398" t="s">
        <v>698</v>
      </c>
      <c r="J573" s="399" t="s">
        <v>699</v>
      </c>
      <c r="K573" s="390" t="str">
        <f t="shared" si="24"/>
        <v>XXX553420010XX</v>
      </c>
      <c r="L573" s="391" t="s">
        <v>1996</v>
      </c>
      <c r="M573" s="398" t="s">
        <v>708</v>
      </c>
      <c r="N573" s="399">
        <v>750853</v>
      </c>
      <c r="O573" s="399" t="s">
        <v>1181</v>
      </c>
      <c r="P573" s="398" t="s">
        <v>1553</v>
      </c>
    </row>
    <row r="574" spans="1:16" s="401" customFormat="1" ht="36">
      <c r="A574" s="452">
        <f t="shared" si="23"/>
        <v>571</v>
      </c>
      <c r="B574" s="387">
        <v>46085</v>
      </c>
      <c r="C574" s="388">
        <v>46083</v>
      </c>
      <c r="D574" s="389" t="s">
        <v>248</v>
      </c>
      <c r="E574" s="398" t="s">
        <v>590</v>
      </c>
      <c r="F574" s="404">
        <v>2790.92</v>
      </c>
      <c r="G574" s="397" t="s">
        <v>1925</v>
      </c>
      <c r="H574" s="389" t="s">
        <v>736</v>
      </c>
      <c r="I574" s="398" t="s">
        <v>668</v>
      </c>
      <c r="J574" s="399" t="s">
        <v>669</v>
      </c>
      <c r="K574" s="390" t="str">
        <f t="shared" si="24"/>
        <v>XXX077460001XX</v>
      </c>
      <c r="L574" s="391" t="s">
        <v>1996</v>
      </c>
      <c r="M574" s="398" t="s">
        <v>1204</v>
      </c>
      <c r="N574" s="399">
        <v>567165455</v>
      </c>
      <c r="O574" s="399" t="s">
        <v>1520</v>
      </c>
      <c r="P574" s="398" t="s">
        <v>1553</v>
      </c>
    </row>
    <row r="575" spans="1:16" s="401" customFormat="1" ht="48">
      <c r="A575" s="452">
        <f t="shared" si="23"/>
        <v>572</v>
      </c>
      <c r="B575" s="387">
        <v>46085</v>
      </c>
      <c r="C575" s="388">
        <v>46083</v>
      </c>
      <c r="D575" s="389" t="s">
        <v>248</v>
      </c>
      <c r="E575" s="398" t="s">
        <v>590</v>
      </c>
      <c r="F575" s="404">
        <v>394.96</v>
      </c>
      <c r="G575" s="397" t="s">
        <v>1575</v>
      </c>
      <c r="H575" s="389" t="s">
        <v>736</v>
      </c>
      <c r="I575" s="398" t="s">
        <v>1425</v>
      </c>
      <c r="J575" s="399" t="s">
        <v>1426</v>
      </c>
      <c r="K575" s="390" t="str">
        <f t="shared" si="24"/>
        <v>XXX764860001XX</v>
      </c>
      <c r="L575" s="391" t="s">
        <v>1996</v>
      </c>
      <c r="M575" s="398" t="s">
        <v>704</v>
      </c>
      <c r="N575" s="399">
        <v>1049652</v>
      </c>
      <c r="O575" s="399" t="s">
        <v>1520</v>
      </c>
      <c r="P575" s="398" t="s">
        <v>1554</v>
      </c>
    </row>
    <row r="576" spans="1:16" s="401" customFormat="1" ht="36">
      <c r="A576" s="452">
        <f t="shared" si="23"/>
        <v>573</v>
      </c>
      <c r="B576" s="387">
        <v>46085</v>
      </c>
      <c r="C576" s="388">
        <v>46083</v>
      </c>
      <c r="D576" s="389" t="s">
        <v>248</v>
      </c>
      <c r="E576" s="398" t="s">
        <v>609</v>
      </c>
      <c r="F576" s="404">
        <v>3440.31</v>
      </c>
      <c r="G576" s="397" t="s">
        <v>1576</v>
      </c>
      <c r="H576" s="389" t="s">
        <v>278</v>
      </c>
      <c r="I576" s="398" t="s">
        <v>680</v>
      </c>
      <c r="J576" s="399" t="s">
        <v>751</v>
      </c>
      <c r="K576" s="390" t="str">
        <f t="shared" si="24"/>
        <v>XXX283160001XX</v>
      </c>
      <c r="L576" s="391" t="s">
        <v>1996</v>
      </c>
      <c r="M576" s="398" t="s">
        <v>704</v>
      </c>
      <c r="N576" s="399">
        <v>2474050</v>
      </c>
      <c r="O576" s="399" t="s">
        <v>1522</v>
      </c>
      <c r="P576" s="398" t="s">
        <v>1553</v>
      </c>
    </row>
    <row r="577" spans="1:16" s="401" customFormat="1" ht="60">
      <c r="A577" s="452">
        <f t="shared" si="23"/>
        <v>574</v>
      </c>
      <c r="B577" s="387">
        <v>46086</v>
      </c>
      <c r="C577" s="388">
        <v>46055</v>
      </c>
      <c r="D577" s="389" t="s">
        <v>248</v>
      </c>
      <c r="E577" s="398" t="s">
        <v>592</v>
      </c>
      <c r="F577" s="404">
        <v>11682.18</v>
      </c>
      <c r="G577" s="397" t="s">
        <v>1577</v>
      </c>
      <c r="H577" s="389" t="s">
        <v>737</v>
      </c>
      <c r="I577" s="398" t="s">
        <v>1427</v>
      </c>
      <c r="J577" s="399" t="s">
        <v>1428</v>
      </c>
      <c r="K577" s="390" t="str">
        <f t="shared" si="24"/>
        <v>XXX655950001XX</v>
      </c>
      <c r="L577" s="391" t="s">
        <v>1996</v>
      </c>
      <c r="M577" s="398" t="s">
        <v>704</v>
      </c>
      <c r="N577" s="399">
        <v>164</v>
      </c>
      <c r="O577" s="399" t="s">
        <v>1199</v>
      </c>
      <c r="P577" s="398" t="s">
        <v>1554</v>
      </c>
    </row>
    <row r="578" spans="1:16" s="401" customFormat="1" ht="36">
      <c r="A578" s="452">
        <f t="shared" si="23"/>
        <v>575</v>
      </c>
      <c r="B578" s="387">
        <v>46086</v>
      </c>
      <c r="C578" s="388">
        <v>46055</v>
      </c>
      <c r="D578" s="389" t="s">
        <v>248</v>
      </c>
      <c r="E578" s="398" t="s">
        <v>602</v>
      </c>
      <c r="F578" s="404">
        <v>2580.87</v>
      </c>
      <c r="G578" s="397" t="s">
        <v>1578</v>
      </c>
      <c r="H578" s="389" t="s">
        <v>278</v>
      </c>
      <c r="I578" s="398" t="s">
        <v>694</v>
      </c>
      <c r="J578" s="399" t="s">
        <v>695</v>
      </c>
      <c r="K578" s="390" t="str">
        <f t="shared" si="24"/>
        <v>XXX713070001XX</v>
      </c>
      <c r="L578" s="391" t="s">
        <v>1996</v>
      </c>
      <c r="M578" s="398" t="s">
        <v>708</v>
      </c>
      <c r="N578" s="399">
        <v>119</v>
      </c>
      <c r="O578" s="399" t="s">
        <v>1181</v>
      </c>
      <c r="P578" s="398" t="s">
        <v>1553</v>
      </c>
    </row>
    <row r="579" spans="1:16" s="401" customFormat="1" ht="96">
      <c r="A579" s="452">
        <f t="shared" si="23"/>
        <v>576</v>
      </c>
      <c r="B579" s="387">
        <v>46086</v>
      </c>
      <c r="C579" s="388">
        <v>46055</v>
      </c>
      <c r="D579" s="389" t="s">
        <v>248</v>
      </c>
      <c r="E579" s="398" t="s">
        <v>1212</v>
      </c>
      <c r="F579" s="404">
        <v>49734.04</v>
      </c>
      <c r="G579" s="397" t="s">
        <v>1579</v>
      </c>
      <c r="H579" s="389" t="s">
        <v>737</v>
      </c>
      <c r="I579" s="398" t="s">
        <v>1101</v>
      </c>
      <c r="J579" s="399" t="s">
        <v>1102</v>
      </c>
      <c r="K579" s="390" t="str">
        <f t="shared" si="24"/>
        <v>XXX680450001XX</v>
      </c>
      <c r="L579" s="391" t="s">
        <v>1996</v>
      </c>
      <c r="M579" s="398" t="s">
        <v>707</v>
      </c>
      <c r="N579" s="399">
        <v>294</v>
      </c>
      <c r="O579" s="399" t="s">
        <v>1200</v>
      </c>
      <c r="P579" s="398" t="s">
        <v>1554</v>
      </c>
    </row>
    <row r="580" spans="1:16" s="401" customFormat="1" ht="36">
      <c r="A580" s="452">
        <f t="shared" ref="A580:A643" si="25">IF(B580="","",ROW()-ROW($A$3))</f>
        <v>577</v>
      </c>
      <c r="B580" s="387">
        <v>46086</v>
      </c>
      <c r="C580" s="388">
        <v>46055</v>
      </c>
      <c r="D580" s="389" t="s">
        <v>248</v>
      </c>
      <c r="E580" s="395" t="s">
        <v>78</v>
      </c>
      <c r="F580" s="404">
        <v>2068.44</v>
      </c>
      <c r="G580" s="397" t="s">
        <v>1580</v>
      </c>
      <c r="H580" s="389" t="s">
        <v>278</v>
      </c>
      <c r="I580" s="398" t="s">
        <v>754</v>
      </c>
      <c r="J580" s="399" t="s">
        <v>755</v>
      </c>
      <c r="K580" s="390" t="str">
        <f t="shared" si="24"/>
        <v>XXX748510001XX</v>
      </c>
      <c r="L580" s="391" t="s">
        <v>1996</v>
      </c>
      <c r="M580" s="398" t="s">
        <v>708</v>
      </c>
      <c r="N580" s="399">
        <v>17</v>
      </c>
      <c r="O580" s="399" t="s">
        <v>1519</v>
      </c>
      <c r="P580" s="398" t="s">
        <v>1553</v>
      </c>
    </row>
    <row r="581" spans="1:16" s="401" customFormat="1" ht="36">
      <c r="A581" s="452">
        <f t="shared" si="25"/>
        <v>578</v>
      </c>
      <c r="B581" s="387">
        <v>46086</v>
      </c>
      <c r="C581" s="388">
        <v>46083</v>
      </c>
      <c r="D581" s="389" t="s">
        <v>248</v>
      </c>
      <c r="E581" s="398" t="s">
        <v>593</v>
      </c>
      <c r="F581" s="404">
        <v>26460</v>
      </c>
      <c r="G581" s="397" t="s">
        <v>1581</v>
      </c>
      <c r="H581" s="389" t="s">
        <v>736</v>
      </c>
      <c r="I581" s="398" t="s">
        <v>1061</v>
      </c>
      <c r="J581" s="399" t="s">
        <v>1062</v>
      </c>
      <c r="K581" s="390" t="str">
        <f t="shared" si="24"/>
        <v>XXX225430001XX</v>
      </c>
      <c r="L581" s="391" t="s">
        <v>1996</v>
      </c>
      <c r="M581" s="398" t="s">
        <v>708</v>
      </c>
      <c r="N581" s="399">
        <v>110</v>
      </c>
      <c r="O581" s="399" t="s">
        <v>1520</v>
      </c>
      <c r="P581" s="398" t="s">
        <v>1553</v>
      </c>
    </row>
    <row r="582" spans="1:16" s="401" customFormat="1" ht="48">
      <c r="A582" s="452">
        <f t="shared" si="25"/>
        <v>579</v>
      </c>
      <c r="B582" s="387">
        <v>46086</v>
      </c>
      <c r="C582" s="388">
        <v>46055</v>
      </c>
      <c r="D582" s="389" t="s">
        <v>248</v>
      </c>
      <c r="E582" s="398" t="s">
        <v>608</v>
      </c>
      <c r="F582" s="404">
        <v>8125</v>
      </c>
      <c r="G582" s="397" t="s">
        <v>1582</v>
      </c>
      <c r="H582" s="389" t="s">
        <v>1029</v>
      </c>
      <c r="I582" s="398" t="s">
        <v>1429</v>
      </c>
      <c r="J582" s="399" t="s">
        <v>1430</v>
      </c>
      <c r="K582" s="390" t="str">
        <f t="shared" si="24"/>
        <v>XXX575760001XX</v>
      </c>
      <c r="L582" s="391" t="s">
        <v>1996</v>
      </c>
      <c r="M582" s="398" t="s">
        <v>708</v>
      </c>
      <c r="N582" s="399">
        <v>28</v>
      </c>
      <c r="O582" s="399" t="s">
        <v>1519</v>
      </c>
      <c r="P582" s="398" t="s">
        <v>1553</v>
      </c>
    </row>
    <row r="583" spans="1:16" s="401" customFormat="1" ht="96">
      <c r="A583" s="452">
        <f t="shared" si="25"/>
        <v>580</v>
      </c>
      <c r="B583" s="387">
        <v>46086</v>
      </c>
      <c r="C583" s="388">
        <v>46055</v>
      </c>
      <c r="D583" s="389" t="s">
        <v>248</v>
      </c>
      <c r="E583" s="398" t="s">
        <v>1550</v>
      </c>
      <c r="F583" s="404">
        <v>3031.7</v>
      </c>
      <c r="G583" s="397" t="s">
        <v>1583</v>
      </c>
      <c r="H583" s="389" t="s">
        <v>736</v>
      </c>
      <c r="I583" s="398" t="s">
        <v>1431</v>
      </c>
      <c r="J583" s="399" t="s">
        <v>1432</v>
      </c>
      <c r="K583" s="390" t="str">
        <f t="shared" si="24"/>
        <v>XXX192380001XX</v>
      </c>
      <c r="L583" s="391" t="s">
        <v>1996</v>
      </c>
      <c r="M583" s="398" t="s">
        <v>719</v>
      </c>
      <c r="N583" s="399">
        <v>1107</v>
      </c>
      <c r="O583" s="399" t="s">
        <v>1519</v>
      </c>
      <c r="P583" s="398" t="s">
        <v>1554</v>
      </c>
    </row>
    <row r="584" spans="1:16" s="401" customFormat="1" ht="36">
      <c r="A584" s="452">
        <f t="shared" si="25"/>
        <v>581</v>
      </c>
      <c r="B584" s="387">
        <v>46086</v>
      </c>
      <c r="C584" s="388">
        <v>46055</v>
      </c>
      <c r="D584" s="389" t="s">
        <v>248</v>
      </c>
      <c r="E584" s="395" t="s">
        <v>455</v>
      </c>
      <c r="F584" s="404">
        <v>40537.120000000003</v>
      </c>
      <c r="G584" s="397" t="s">
        <v>1584</v>
      </c>
      <c r="H584" s="389" t="s">
        <v>738</v>
      </c>
      <c r="I584" s="398" t="s">
        <v>1433</v>
      </c>
      <c r="J584" s="399" t="s">
        <v>1434</v>
      </c>
      <c r="K584" s="390" t="str">
        <f t="shared" ref="K584:K618" si="26">IF(J584="","",IF(LEN(J584)&gt;14,IF(ISBLANK(J584),"",J584),REPLACE(REPLACE(J584,1,3,"XXX"),13,2,"XX")))</f>
        <v>XXX981830001XX</v>
      </c>
      <c r="L584" s="391" t="s">
        <v>1996</v>
      </c>
      <c r="M584" s="398" t="s">
        <v>707</v>
      </c>
      <c r="N584" s="399">
        <v>124</v>
      </c>
      <c r="O584" s="399" t="s">
        <v>1191</v>
      </c>
      <c r="P584" s="398" t="s">
        <v>1554</v>
      </c>
    </row>
    <row r="585" spans="1:16" s="401" customFormat="1" ht="48">
      <c r="A585" s="452">
        <f t="shared" si="25"/>
        <v>582</v>
      </c>
      <c r="B585" s="387">
        <v>46086</v>
      </c>
      <c r="C585" s="388">
        <v>46083</v>
      </c>
      <c r="D585" s="389" t="s">
        <v>248</v>
      </c>
      <c r="E585" s="398" t="s">
        <v>593</v>
      </c>
      <c r="F585" s="404">
        <v>99179.74</v>
      </c>
      <c r="G585" s="397" t="s">
        <v>1585</v>
      </c>
      <c r="H585" s="389" t="s">
        <v>736</v>
      </c>
      <c r="I585" s="398" t="s">
        <v>1059</v>
      </c>
      <c r="J585" s="399" t="s">
        <v>1060</v>
      </c>
      <c r="K585" s="390" t="str">
        <f t="shared" si="26"/>
        <v>XXX414930001XX</v>
      </c>
      <c r="L585" s="391" t="s">
        <v>1996</v>
      </c>
      <c r="M585" s="398" t="s">
        <v>708</v>
      </c>
      <c r="N585" s="399">
        <v>2</v>
      </c>
      <c r="O585" s="399" t="s">
        <v>1520</v>
      </c>
      <c r="P585" s="398" t="s">
        <v>1553</v>
      </c>
    </row>
    <row r="586" spans="1:16" s="401" customFormat="1" ht="36">
      <c r="A586" s="452">
        <f t="shared" si="25"/>
        <v>583</v>
      </c>
      <c r="B586" s="387">
        <v>46086</v>
      </c>
      <c r="C586" s="388">
        <v>46055</v>
      </c>
      <c r="D586" s="389" t="s">
        <v>248</v>
      </c>
      <c r="E586" s="395" t="s">
        <v>454</v>
      </c>
      <c r="F586" s="404">
        <v>1800</v>
      </c>
      <c r="G586" s="397" t="s">
        <v>1586</v>
      </c>
      <c r="H586" s="389" t="s">
        <v>1418</v>
      </c>
      <c r="I586" s="398" t="s">
        <v>1066</v>
      </c>
      <c r="J586" s="399" t="s">
        <v>1067</v>
      </c>
      <c r="K586" s="390" t="str">
        <f t="shared" si="26"/>
        <v>XXX45343606 XX</v>
      </c>
      <c r="L586" s="391" t="s">
        <v>1996</v>
      </c>
      <c r="M586" s="398" t="s">
        <v>708</v>
      </c>
      <c r="N586" s="399">
        <v>74469</v>
      </c>
      <c r="O586" s="399" t="s">
        <v>1523</v>
      </c>
      <c r="P586" s="398" t="s">
        <v>1553</v>
      </c>
    </row>
    <row r="587" spans="1:16" s="401" customFormat="1" ht="36">
      <c r="A587" s="452">
        <f t="shared" si="25"/>
        <v>584</v>
      </c>
      <c r="B587" s="387">
        <v>46086</v>
      </c>
      <c r="C587" s="388">
        <v>46055</v>
      </c>
      <c r="D587" s="389" t="s">
        <v>248</v>
      </c>
      <c r="E587" s="395" t="s">
        <v>454</v>
      </c>
      <c r="F587" s="404">
        <v>1450</v>
      </c>
      <c r="G587" s="397" t="s">
        <v>1587</v>
      </c>
      <c r="H587" s="389" t="s">
        <v>1418</v>
      </c>
      <c r="I587" s="398" t="s">
        <v>1068</v>
      </c>
      <c r="J587" s="399" t="s">
        <v>1069</v>
      </c>
      <c r="K587" s="390" t="str">
        <f t="shared" si="26"/>
        <v>XXX25250646 XX</v>
      </c>
      <c r="L587" s="391" t="s">
        <v>1996</v>
      </c>
      <c r="M587" s="398" t="s">
        <v>708</v>
      </c>
      <c r="N587" s="399">
        <v>74470</v>
      </c>
      <c r="O587" s="399" t="s">
        <v>1523</v>
      </c>
      <c r="P587" s="398" t="s">
        <v>1553</v>
      </c>
    </row>
    <row r="588" spans="1:16" s="401" customFormat="1" ht="36">
      <c r="A588" s="452">
        <f t="shared" si="25"/>
        <v>585</v>
      </c>
      <c r="B588" s="387">
        <v>46086</v>
      </c>
      <c r="C588" s="388">
        <v>46055</v>
      </c>
      <c r="D588" s="389" t="s">
        <v>248</v>
      </c>
      <c r="E588" s="395" t="s">
        <v>454</v>
      </c>
      <c r="F588" s="404">
        <v>1500</v>
      </c>
      <c r="G588" s="397" t="s">
        <v>1587</v>
      </c>
      <c r="H588" s="389" t="s">
        <v>1418</v>
      </c>
      <c r="I588" s="398" t="s">
        <v>1070</v>
      </c>
      <c r="J588" s="399" t="s">
        <v>1071</v>
      </c>
      <c r="K588" s="390" t="str">
        <f t="shared" si="26"/>
        <v>XXX97947651 XX</v>
      </c>
      <c r="L588" s="391" t="s">
        <v>1996</v>
      </c>
      <c r="M588" s="398" t="s">
        <v>708</v>
      </c>
      <c r="N588" s="399">
        <v>74471</v>
      </c>
      <c r="O588" s="399" t="s">
        <v>1523</v>
      </c>
      <c r="P588" s="398" t="s">
        <v>1553</v>
      </c>
    </row>
    <row r="589" spans="1:16" s="401" customFormat="1" ht="36">
      <c r="A589" s="452">
        <f t="shared" si="25"/>
        <v>586</v>
      </c>
      <c r="B589" s="387">
        <v>46086</v>
      </c>
      <c r="C589" s="388">
        <v>46055</v>
      </c>
      <c r="D589" s="389" t="s">
        <v>248</v>
      </c>
      <c r="E589" s="395" t="s">
        <v>454</v>
      </c>
      <c r="F589" s="404">
        <v>1400</v>
      </c>
      <c r="G589" s="397" t="s">
        <v>1587</v>
      </c>
      <c r="H589" s="389" t="s">
        <v>1418</v>
      </c>
      <c r="I589" s="398" t="s">
        <v>1072</v>
      </c>
      <c r="J589" s="399" t="s">
        <v>1073</v>
      </c>
      <c r="K589" s="390" t="str">
        <f t="shared" si="26"/>
        <v>XXX62994659 XX</v>
      </c>
      <c r="L589" s="391" t="s">
        <v>1996</v>
      </c>
      <c r="M589" s="398" t="s">
        <v>708</v>
      </c>
      <c r="N589" s="399">
        <v>74472</v>
      </c>
      <c r="O589" s="399" t="s">
        <v>1523</v>
      </c>
      <c r="P589" s="398" t="s">
        <v>1553</v>
      </c>
    </row>
    <row r="590" spans="1:16" s="401" customFormat="1" ht="36">
      <c r="A590" s="452">
        <f t="shared" si="25"/>
        <v>587</v>
      </c>
      <c r="B590" s="387">
        <v>46086</v>
      </c>
      <c r="C590" s="388">
        <v>46055</v>
      </c>
      <c r="D590" s="389" t="s">
        <v>248</v>
      </c>
      <c r="E590" s="395" t="s">
        <v>454</v>
      </c>
      <c r="F590" s="404">
        <v>1500</v>
      </c>
      <c r="G590" s="397" t="s">
        <v>1587</v>
      </c>
      <c r="H590" s="389" t="s">
        <v>1418</v>
      </c>
      <c r="I590" s="398" t="s">
        <v>1074</v>
      </c>
      <c r="J590" s="399" t="s">
        <v>1075</v>
      </c>
      <c r="K590" s="390" t="str">
        <f t="shared" si="26"/>
        <v>XXX63319604 XX</v>
      </c>
      <c r="L590" s="391" t="s">
        <v>1996</v>
      </c>
      <c r="M590" s="398" t="s">
        <v>708</v>
      </c>
      <c r="N590" s="399">
        <v>74473</v>
      </c>
      <c r="O590" s="399" t="s">
        <v>1523</v>
      </c>
      <c r="P590" s="398" t="s">
        <v>1553</v>
      </c>
    </row>
    <row r="591" spans="1:16" s="401" customFormat="1" ht="36">
      <c r="A591" s="452">
        <f t="shared" si="25"/>
        <v>588</v>
      </c>
      <c r="B591" s="387">
        <v>46086</v>
      </c>
      <c r="C591" s="388">
        <v>46055</v>
      </c>
      <c r="D591" s="389" t="s">
        <v>248</v>
      </c>
      <c r="E591" s="395" t="s">
        <v>454</v>
      </c>
      <c r="F591" s="404">
        <v>1800</v>
      </c>
      <c r="G591" s="397" t="s">
        <v>1587</v>
      </c>
      <c r="H591" s="389" t="s">
        <v>1418</v>
      </c>
      <c r="I591" s="398" t="s">
        <v>1076</v>
      </c>
      <c r="J591" s="399" t="s">
        <v>1077</v>
      </c>
      <c r="K591" s="390" t="str">
        <f t="shared" ref="K591" si="27">IF(J591="","",IF(LEN(J591)&gt;14,IF(ISBLANK(J591),"",J591),REPLACE(REPLACE(J591,1,3,"XXX"),13,2,"XX")))</f>
        <v>XXX84604639 XX</v>
      </c>
      <c r="L591" s="391" t="s">
        <v>1996</v>
      </c>
      <c r="M591" s="398" t="s">
        <v>708</v>
      </c>
      <c r="N591" s="399">
        <v>74474</v>
      </c>
      <c r="O591" s="399" t="s">
        <v>1523</v>
      </c>
      <c r="P591" s="398" t="s">
        <v>1553</v>
      </c>
    </row>
    <row r="592" spans="1:16" s="401" customFormat="1" ht="36">
      <c r="A592" s="452">
        <f t="shared" si="25"/>
        <v>589</v>
      </c>
      <c r="B592" s="387">
        <v>46086</v>
      </c>
      <c r="C592" s="388">
        <v>46055</v>
      </c>
      <c r="D592" s="389" t="s">
        <v>248</v>
      </c>
      <c r="E592" s="395" t="s">
        <v>454</v>
      </c>
      <c r="F592" s="404">
        <v>1800</v>
      </c>
      <c r="G592" s="397" t="s">
        <v>1587</v>
      </c>
      <c r="H592" s="389" t="s">
        <v>1418</v>
      </c>
      <c r="I592" s="398" t="s">
        <v>1078</v>
      </c>
      <c r="J592" s="399" t="s">
        <v>1079</v>
      </c>
      <c r="K592" s="390" t="str">
        <f t="shared" si="26"/>
        <v>XXX28795216 XX</v>
      </c>
      <c r="L592" s="391" t="s">
        <v>1996</v>
      </c>
      <c r="M592" s="398" t="s">
        <v>708</v>
      </c>
      <c r="N592" s="399">
        <v>74475</v>
      </c>
      <c r="O592" s="399" t="s">
        <v>1523</v>
      </c>
      <c r="P592" s="398" t="s">
        <v>1553</v>
      </c>
    </row>
    <row r="593" spans="1:16" s="401" customFormat="1" ht="36">
      <c r="A593" s="452">
        <f t="shared" si="25"/>
        <v>590</v>
      </c>
      <c r="B593" s="387">
        <v>46086</v>
      </c>
      <c r="C593" s="388">
        <v>46055</v>
      </c>
      <c r="D593" s="389" t="s">
        <v>248</v>
      </c>
      <c r="E593" s="395" t="s">
        <v>454</v>
      </c>
      <c r="F593" s="404">
        <v>1500</v>
      </c>
      <c r="G593" s="397" t="s">
        <v>1587</v>
      </c>
      <c r="H593" s="389" t="s">
        <v>1418</v>
      </c>
      <c r="I593" s="398" t="s">
        <v>1080</v>
      </c>
      <c r="J593" s="399" t="s">
        <v>1081</v>
      </c>
      <c r="K593" s="390" t="str">
        <f t="shared" si="26"/>
        <v>XXX93363636 XX</v>
      </c>
      <c r="L593" s="391" t="s">
        <v>1996</v>
      </c>
      <c r="M593" s="398" t="s">
        <v>708</v>
      </c>
      <c r="N593" s="399">
        <v>74476</v>
      </c>
      <c r="O593" s="399" t="s">
        <v>1523</v>
      </c>
      <c r="P593" s="398" t="s">
        <v>1553</v>
      </c>
    </row>
    <row r="594" spans="1:16" s="401" customFormat="1" ht="36">
      <c r="A594" s="452">
        <f t="shared" si="25"/>
        <v>591</v>
      </c>
      <c r="B594" s="387">
        <v>46086</v>
      </c>
      <c r="C594" s="388">
        <v>46055</v>
      </c>
      <c r="D594" s="389" t="s">
        <v>248</v>
      </c>
      <c r="E594" s="395" t="s">
        <v>454</v>
      </c>
      <c r="F594" s="404">
        <v>1740</v>
      </c>
      <c r="G594" s="397" t="s">
        <v>1587</v>
      </c>
      <c r="H594" s="389" t="s">
        <v>1418</v>
      </c>
      <c r="I594" s="398" t="s">
        <v>1082</v>
      </c>
      <c r="J594" s="399" t="s">
        <v>1083</v>
      </c>
      <c r="K594" s="390" t="str">
        <f t="shared" si="26"/>
        <v>XXX42486208 XX</v>
      </c>
      <c r="L594" s="391" t="s">
        <v>1996</v>
      </c>
      <c r="M594" s="398" t="s">
        <v>708</v>
      </c>
      <c r="N594" s="399">
        <v>74477</v>
      </c>
      <c r="O594" s="399" t="s">
        <v>1523</v>
      </c>
      <c r="P594" s="398" t="s">
        <v>1553</v>
      </c>
    </row>
    <row r="595" spans="1:16" s="401" customFormat="1" ht="36">
      <c r="A595" s="452">
        <f t="shared" si="25"/>
        <v>592</v>
      </c>
      <c r="B595" s="387">
        <v>46086</v>
      </c>
      <c r="C595" s="388">
        <v>46055</v>
      </c>
      <c r="D595" s="389" t="s">
        <v>248</v>
      </c>
      <c r="E595" s="395" t="s">
        <v>454</v>
      </c>
      <c r="F595" s="404">
        <v>1450</v>
      </c>
      <c r="G595" s="397" t="s">
        <v>1587</v>
      </c>
      <c r="H595" s="389" t="s">
        <v>1418</v>
      </c>
      <c r="I595" s="398" t="s">
        <v>1084</v>
      </c>
      <c r="J595" s="399" t="s">
        <v>1085</v>
      </c>
      <c r="K595" s="390" t="str">
        <f t="shared" si="26"/>
        <v>XXX32776674 XX</v>
      </c>
      <c r="L595" s="391" t="s">
        <v>1996</v>
      </c>
      <c r="M595" s="398" t="s">
        <v>708</v>
      </c>
      <c r="N595" s="399">
        <v>74478</v>
      </c>
      <c r="O595" s="399" t="s">
        <v>1523</v>
      </c>
      <c r="P595" s="398" t="s">
        <v>1553</v>
      </c>
    </row>
    <row r="596" spans="1:16" s="401" customFormat="1" ht="36">
      <c r="A596" s="452">
        <f t="shared" si="25"/>
        <v>593</v>
      </c>
      <c r="B596" s="387">
        <v>46086</v>
      </c>
      <c r="C596" s="388">
        <v>46055</v>
      </c>
      <c r="D596" s="389" t="s">
        <v>248</v>
      </c>
      <c r="E596" s="395" t="s">
        <v>454</v>
      </c>
      <c r="F596" s="404">
        <v>1800</v>
      </c>
      <c r="G596" s="397" t="s">
        <v>1587</v>
      </c>
      <c r="H596" s="389" t="s">
        <v>1418</v>
      </c>
      <c r="I596" s="398" t="s">
        <v>1086</v>
      </c>
      <c r="J596" s="399" t="s">
        <v>1087</v>
      </c>
      <c r="K596" s="390" t="str">
        <f t="shared" si="26"/>
        <v>XXX41278661 XX</v>
      </c>
      <c r="L596" s="391" t="s">
        <v>1996</v>
      </c>
      <c r="M596" s="398" t="s">
        <v>708</v>
      </c>
      <c r="N596" s="399">
        <v>74479</v>
      </c>
      <c r="O596" s="399" t="s">
        <v>1523</v>
      </c>
      <c r="P596" s="398" t="s">
        <v>1553</v>
      </c>
    </row>
    <row r="597" spans="1:16" s="401" customFormat="1" ht="36">
      <c r="A597" s="452">
        <f t="shared" si="25"/>
        <v>594</v>
      </c>
      <c r="B597" s="387">
        <v>46086</v>
      </c>
      <c r="C597" s="388">
        <v>46055</v>
      </c>
      <c r="D597" s="389" t="s">
        <v>248</v>
      </c>
      <c r="E597" s="395" t="s">
        <v>454</v>
      </c>
      <c r="F597" s="404">
        <v>1500</v>
      </c>
      <c r="G597" s="397" t="s">
        <v>1587</v>
      </c>
      <c r="H597" s="389" t="s">
        <v>1418</v>
      </c>
      <c r="I597" s="398" t="s">
        <v>1088</v>
      </c>
      <c r="J597" s="399" t="s">
        <v>1089</v>
      </c>
      <c r="K597" s="390" t="str">
        <f t="shared" si="26"/>
        <v>XXX34290665 XX</v>
      </c>
      <c r="L597" s="391" t="s">
        <v>1996</v>
      </c>
      <c r="M597" s="398" t="s">
        <v>708</v>
      </c>
      <c r="N597" s="399">
        <v>74480</v>
      </c>
      <c r="O597" s="399" t="s">
        <v>1523</v>
      </c>
      <c r="P597" s="398" t="s">
        <v>1553</v>
      </c>
    </row>
    <row r="598" spans="1:16" s="401" customFormat="1" ht="36">
      <c r="A598" s="452">
        <f t="shared" si="25"/>
        <v>595</v>
      </c>
      <c r="B598" s="387">
        <v>46086</v>
      </c>
      <c r="C598" s="388">
        <v>46055</v>
      </c>
      <c r="D598" s="389" t="s">
        <v>248</v>
      </c>
      <c r="E598" s="395" t="s">
        <v>454</v>
      </c>
      <c r="F598" s="404">
        <v>1500</v>
      </c>
      <c r="G598" s="397" t="s">
        <v>1587</v>
      </c>
      <c r="H598" s="389" t="s">
        <v>1418</v>
      </c>
      <c r="I598" s="398" t="s">
        <v>1090</v>
      </c>
      <c r="J598" s="399" t="s">
        <v>1091</v>
      </c>
      <c r="K598" s="390" t="str">
        <f t="shared" si="26"/>
        <v>XXX64962680 XX</v>
      </c>
      <c r="L598" s="391" t="s">
        <v>1996</v>
      </c>
      <c r="M598" s="398" t="s">
        <v>708</v>
      </c>
      <c r="N598" s="399">
        <v>74481</v>
      </c>
      <c r="O598" s="399" t="s">
        <v>1523</v>
      </c>
      <c r="P598" s="398" t="s">
        <v>1553</v>
      </c>
    </row>
    <row r="599" spans="1:16" s="401" customFormat="1" ht="36">
      <c r="A599" s="452">
        <f t="shared" si="25"/>
        <v>596</v>
      </c>
      <c r="B599" s="387">
        <v>46086</v>
      </c>
      <c r="C599" s="388">
        <v>46055</v>
      </c>
      <c r="D599" s="389" t="s">
        <v>248</v>
      </c>
      <c r="E599" s="395" t="s">
        <v>454</v>
      </c>
      <c r="F599" s="404">
        <v>1800</v>
      </c>
      <c r="G599" s="397" t="s">
        <v>1587</v>
      </c>
      <c r="H599" s="389" t="s">
        <v>1418</v>
      </c>
      <c r="I599" s="398" t="s">
        <v>1092</v>
      </c>
      <c r="J599" s="399" t="s">
        <v>1093</v>
      </c>
      <c r="K599" s="390" t="str">
        <f t="shared" si="26"/>
        <v>XXX75959766 XX</v>
      </c>
      <c r="L599" s="391" t="s">
        <v>1996</v>
      </c>
      <c r="M599" s="398" t="s">
        <v>708</v>
      </c>
      <c r="N599" s="399">
        <v>74482</v>
      </c>
      <c r="O599" s="399" t="s">
        <v>1523</v>
      </c>
      <c r="P599" s="398" t="s">
        <v>1553</v>
      </c>
    </row>
    <row r="600" spans="1:16" s="401" customFormat="1" ht="36">
      <c r="A600" s="452">
        <f t="shared" si="25"/>
        <v>597</v>
      </c>
      <c r="B600" s="387">
        <v>46086</v>
      </c>
      <c r="C600" s="388">
        <v>46055</v>
      </c>
      <c r="D600" s="389" t="s">
        <v>248</v>
      </c>
      <c r="E600" s="395" t="s">
        <v>454</v>
      </c>
      <c r="F600" s="404">
        <v>1800</v>
      </c>
      <c r="G600" s="397" t="s">
        <v>1587</v>
      </c>
      <c r="H600" s="389" t="s">
        <v>1418</v>
      </c>
      <c r="I600" s="398" t="s">
        <v>1094</v>
      </c>
      <c r="J600" s="399" t="s">
        <v>1095</v>
      </c>
      <c r="K600" s="390" t="str">
        <f t="shared" si="26"/>
        <v>XXX79919790 XX</v>
      </c>
      <c r="L600" s="391" t="s">
        <v>1996</v>
      </c>
      <c r="M600" s="398" t="s">
        <v>708</v>
      </c>
      <c r="N600" s="399">
        <v>74483</v>
      </c>
      <c r="O600" s="399" t="s">
        <v>1523</v>
      </c>
      <c r="P600" s="398" t="s">
        <v>1553</v>
      </c>
    </row>
    <row r="601" spans="1:16" s="401" customFormat="1" ht="36">
      <c r="A601" s="452">
        <f t="shared" si="25"/>
        <v>598</v>
      </c>
      <c r="B601" s="387">
        <v>46086</v>
      </c>
      <c r="C601" s="388">
        <v>46055</v>
      </c>
      <c r="D601" s="389" t="s">
        <v>353</v>
      </c>
      <c r="E601" s="394" t="s">
        <v>153</v>
      </c>
      <c r="F601" s="404">
        <v>13830.67</v>
      </c>
      <c r="G601" s="397" t="s">
        <v>1588</v>
      </c>
      <c r="H601" s="389" t="s">
        <v>280</v>
      </c>
      <c r="I601" s="394" t="s">
        <v>744</v>
      </c>
      <c r="J601" s="455">
        <v>7837375000150</v>
      </c>
      <c r="K601" s="390" t="str">
        <f t="shared" si="26"/>
        <v>XXX737500015XX</v>
      </c>
      <c r="L601" s="391" t="s">
        <v>1996</v>
      </c>
      <c r="M601" s="398" t="s">
        <v>726</v>
      </c>
      <c r="N601" s="399">
        <v>28022026</v>
      </c>
      <c r="O601" s="399" t="s">
        <v>1523</v>
      </c>
      <c r="P601" s="398" t="s">
        <v>1553</v>
      </c>
    </row>
    <row r="602" spans="1:16" s="401" customFormat="1" ht="36">
      <c r="A602" s="452">
        <f t="shared" si="25"/>
        <v>599</v>
      </c>
      <c r="B602" s="387">
        <v>46086</v>
      </c>
      <c r="C602" s="388">
        <v>46055</v>
      </c>
      <c r="D602" s="389" t="s">
        <v>248</v>
      </c>
      <c r="E602" s="395" t="s">
        <v>78</v>
      </c>
      <c r="F602" s="404">
        <v>835.95</v>
      </c>
      <c r="G602" s="397" t="s">
        <v>1589</v>
      </c>
      <c r="H602" s="389" t="s">
        <v>278</v>
      </c>
      <c r="I602" s="398" t="s">
        <v>1433</v>
      </c>
      <c r="J602" s="399" t="s">
        <v>1434</v>
      </c>
      <c r="K602" s="390" t="str">
        <f t="shared" si="26"/>
        <v>XXX981830001XX</v>
      </c>
      <c r="L602" s="391" t="s">
        <v>1996</v>
      </c>
      <c r="M602" s="398" t="s">
        <v>708</v>
      </c>
      <c r="N602" s="399">
        <v>125</v>
      </c>
      <c r="O602" s="399" t="s">
        <v>1191</v>
      </c>
      <c r="P602" s="398" t="s">
        <v>1553</v>
      </c>
    </row>
    <row r="603" spans="1:16" s="401" customFormat="1" ht="36">
      <c r="A603" s="452">
        <f t="shared" si="25"/>
        <v>600</v>
      </c>
      <c r="B603" s="387">
        <v>46086</v>
      </c>
      <c r="C603" s="388">
        <v>46083</v>
      </c>
      <c r="D603" s="389" t="s">
        <v>248</v>
      </c>
      <c r="E603" s="398" t="s">
        <v>597</v>
      </c>
      <c r="F603" s="404">
        <v>41</v>
      </c>
      <c r="G603" s="397" t="s">
        <v>1590</v>
      </c>
      <c r="H603" s="389" t="s">
        <v>278</v>
      </c>
      <c r="I603" s="398" t="s">
        <v>881</v>
      </c>
      <c r="J603" s="399" t="s">
        <v>773</v>
      </c>
      <c r="K603" s="390" t="str">
        <f t="shared" si="26"/>
        <v>XXX000000000XX</v>
      </c>
      <c r="L603" s="391" t="s">
        <v>1996</v>
      </c>
      <c r="M603" s="398" t="s">
        <v>710</v>
      </c>
      <c r="N603" s="399">
        <v>144738</v>
      </c>
      <c r="O603" s="399" t="s">
        <v>1524</v>
      </c>
      <c r="P603" s="398" t="s">
        <v>735</v>
      </c>
    </row>
    <row r="604" spans="1:16" s="401" customFormat="1" ht="36">
      <c r="A604" s="452">
        <f t="shared" si="25"/>
        <v>601</v>
      </c>
      <c r="B604" s="387">
        <v>46086</v>
      </c>
      <c r="C604" s="388">
        <v>46083</v>
      </c>
      <c r="D604" s="389" t="s">
        <v>166</v>
      </c>
      <c r="E604" s="398" t="s">
        <v>584</v>
      </c>
      <c r="F604" s="404">
        <v>107.26</v>
      </c>
      <c r="G604" s="397" t="s">
        <v>1591</v>
      </c>
      <c r="H604" s="389" t="s">
        <v>166</v>
      </c>
      <c r="I604" s="398" t="s">
        <v>618</v>
      </c>
      <c r="J604" s="399" t="s">
        <v>619</v>
      </c>
      <c r="K604" s="390" t="str">
        <f t="shared" si="26"/>
        <v>XXX985050001XX</v>
      </c>
      <c r="L604" s="391" t="s">
        <v>1996</v>
      </c>
      <c r="M604" s="398" t="s">
        <v>706</v>
      </c>
      <c r="N604" s="399">
        <v>2057887387</v>
      </c>
      <c r="O604" s="399" t="s">
        <v>1525</v>
      </c>
      <c r="P604" s="398" t="s">
        <v>1555</v>
      </c>
    </row>
    <row r="605" spans="1:16" s="401" customFormat="1" ht="36">
      <c r="A605" s="452">
        <f t="shared" si="25"/>
        <v>602</v>
      </c>
      <c r="B605" s="387">
        <v>46086</v>
      </c>
      <c r="C605" s="388">
        <v>46083</v>
      </c>
      <c r="D605" s="389" t="s">
        <v>353</v>
      </c>
      <c r="E605" s="394" t="s">
        <v>153</v>
      </c>
      <c r="F605" s="404">
        <v>55160.39</v>
      </c>
      <c r="G605" s="397" t="s">
        <v>821</v>
      </c>
      <c r="H605" s="389" t="s">
        <v>280</v>
      </c>
      <c r="I605" s="394" t="s">
        <v>744</v>
      </c>
      <c r="J605" s="455">
        <v>7837375000150</v>
      </c>
      <c r="K605" s="390" t="str">
        <f t="shared" si="26"/>
        <v>XXX737500015XX</v>
      </c>
      <c r="L605" s="391" t="s">
        <v>1996</v>
      </c>
      <c r="M605" s="398" t="s">
        <v>706</v>
      </c>
      <c r="N605" s="399">
        <v>2057887388</v>
      </c>
      <c r="O605" s="399" t="s">
        <v>1524</v>
      </c>
      <c r="P605" s="398" t="s">
        <v>1553</v>
      </c>
    </row>
    <row r="606" spans="1:16" s="401" customFormat="1" ht="84" customHeight="1">
      <c r="A606" s="452">
        <f t="shared" si="25"/>
        <v>603</v>
      </c>
      <c r="B606" s="387">
        <v>46086</v>
      </c>
      <c r="C606" s="388">
        <v>46083</v>
      </c>
      <c r="D606" s="389" t="s">
        <v>353</v>
      </c>
      <c r="E606" s="398" t="s">
        <v>587</v>
      </c>
      <c r="F606" s="404">
        <v>-2100</v>
      </c>
      <c r="G606" s="397" t="s">
        <v>1592</v>
      </c>
      <c r="H606" s="389" t="s">
        <v>280</v>
      </c>
      <c r="I606" s="394" t="s">
        <v>744</v>
      </c>
      <c r="J606" s="455">
        <v>7837375000150</v>
      </c>
      <c r="K606" s="390" t="str">
        <f t="shared" si="26"/>
        <v>XXX737500015XX</v>
      </c>
      <c r="L606" s="391" t="s">
        <v>1996</v>
      </c>
      <c r="M606" s="398" t="s">
        <v>708</v>
      </c>
      <c r="N606" s="399">
        <v>32026</v>
      </c>
      <c r="O606" s="399" t="s">
        <v>1520</v>
      </c>
      <c r="P606" s="398" t="s">
        <v>1553</v>
      </c>
    </row>
    <row r="607" spans="1:16" s="401" customFormat="1" ht="24">
      <c r="A607" s="452">
        <f t="shared" si="25"/>
        <v>604</v>
      </c>
      <c r="B607" s="387">
        <v>46086</v>
      </c>
      <c r="C607" s="388">
        <v>46055</v>
      </c>
      <c r="D607" s="389" t="s">
        <v>166</v>
      </c>
      <c r="E607" s="398" t="s">
        <v>1210</v>
      </c>
      <c r="F607" s="404">
        <v>486.3</v>
      </c>
      <c r="G607" s="397" t="s">
        <v>1593</v>
      </c>
      <c r="H607" s="389" t="s">
        <v>166</v>
      </c>
      <c r="I607" s="398" t="s">
        <v>1435</v>
      </c>
      <c r="J607" s="399" t="s">
        <v>1436</v>
      </c>
      <c r="K607" s="390" t="str">
        <f t="shared" si="26"/>
        <v>XXX06833670 XX</v>
      </c>
      <c r="L607" s="391" t="s">
        <v>1996</v>
      </c>
      <c r="M607" s="398" t="s">
        <v>708</v>
      </c>
      <c r="N607" s="399">
        <v>536</v>
      </c>
      <c r="O607" s="399" t="s">
        <v>1180</v>
      </c>
      <c r="P607" s="398" t="s">
        <v>1555</v>
      </c>
    </row>
    <row r="608" spans="1:16" s="401" customFormat="1" ht="24">
      <c r="A608" s="452">
        <f t="shared" si="25"/>
        <v>605</v>
      </c>
      <c r="B608" s="387">
        <v>46086</v>
      </c>
      <c r="C608" s="388">
        <v>46055</v>
      </c>
      <c r="D608" s="389" t="s">
        <v>166</v>
      </c>
      <c r="E608" s="398" t="s">
        <v>1210</v>
      </c>
      <c r="F608" s="404">
        <v>2604.31</v>
      </c>
      <c r="G608" s="397" t="s">
        <v>1593</v>
      </c>
      <c r="H608" s="389" t="s">
        <v>166</v>
      </c>
      <c r="I608" s="398" t="s">
        <v>1437</v>
      </c>
      <c r="J608" s="399" t="s">
        <v>1438</v>
      </c>
      <c r="K608" s="390" t="str">
        <f t="shared" si="26"/>
        <v>XXX64835690 XX</v>
      </c>
      <c r="L608" s="391" t="s">
        <v>1996</v>
      </c>
      <c r="M608" s="398" t="s">
        <v>708</v>
      </c>
      <c r="N608" s="399">
        <v>536</v>
      </c>
      <c r="O608" s="399" t="s">
        <v>1180</v>
      </c>
      <c r="P608" s="398" t="s">
        <v>1555</v>
      </c>
    </row>
    <row r="609" spans="1:16" s="401" customFormat="1" ht="30" customHeight="1">
      <c r="A609" s="452">
        <f t="shared" si="25"/>
        <v>606</v>
      </c>
      <c r="B609" s="387">
        <v>46086</v>
      </c>
      <c r="C609" s="388">
        <v>46055</v>
      </c>
      <c r="D609" s="389" t="s">
        <v>166</v>
      </c>
      <c r="E609" s="398" t="s">
        <v>1210</v>
      </c>
      <c r="F609" s="404">
        <v>1501.5</v>
      </c>
      <c r="G609" s="397" t="s">
        <v>1593</v>
      </c>
      <c r="H609" s="389" t="s">
        <v>166</v>
      </c>
      <c r="I609" s="398" t="s">
        <v>1439</v>
      </c>
      <c r="J609" s="399" t="s">
        <v>770</v>
      </c>
      <c r="K609" s="390" t="str">
        <f t="shared" si="26"/>
        <v>XXX00000000 XX</v>
      </c>
      <c r="L609" s="391" t="s">
        <v>1996</v>
      </c>
      <c r="M609" s="398" t="s">
        <v>708</v>
      </c>
      <c r="N609" s="399">
        <v>536</v>
      </c>
      <c r="O609" s="399" t="s">
        <v>1180</v>
      </c>
      <c r="P609" s="398" t="s">
        <v>1555</v>
      </c>
    </row>
    <row r="610" spans="1:16" s="401" customFormat="1" ht="24">
      <c r="A610" s="452">
        <f t="shared" si="25"/>
        <v>607</v>
      </c>
      <c r="B610" s="387">
        <v>46086</v>
      </c>
      <c r="C610" s="388">
        <v>46055</v>
      </c>
      <c r="D610" s="389" t="s">
        <v>166</v>
      </c>
      <c r="E610" s="398" t="s">
        <v>1210</v>
      </c>
      <c r="F610" s="404">
        <v>570.29999999999995</v>
      </c>
      <c r="G610" s="397" t="s">
        <v>1593</v>
      </c>
      <c r="H610" s="389" t="s">
        <v>166</v>
      </c>
      <c r="I610" s="398" t="s">
        <v>1440</v>
      </c>
      <c r="J610" s="399" t="s">
        <v>1441</v>
      </c>
      <c r="K610" s="390" t="str">
        <f t="shared" si="26"/>
        <v>XXX85794725 XX</v>
      </c>
      <c r="L610" s="391" t="s">
        <v>1996</v>
      </c>
      <c r="M610" s="398" t="s">
        <v>708</v>
      </c>
      <c r="N610" s="399">
        <v>536</v>
      </c>
      <c r="O610" s="399" t="s">
        <v>1180</v>
      </c>
      <c r="P610" s="398" t="s">
        <v>1555</v>
      </c>
    </row>
    <row r="611" spans="1:16" s="401" customFormat="1" ht="24">
      <c r="A611" s="452">
        <f t="shared" si="25"/>
        <v>608</v>
      </c>
      <c r="B611" s="387">
        <v>46086</v>
      </c>
      <c r="C611" s="388">
        <v>46055</v>
      </c>
      <c r="D611" s="389" t="s">
        <v>166</v>
      </c>
      <c r="E611" s="398" t="s">
        <v>1210</v>
      </c>
      <c r="F611" s="404">
        <v>575.66999999999996</v>
      </c>
      <c r="G611" s="397" t="s">
        <v>1593</v>
      </c>
      <c r="H611" s="389" t="s">
        <v>166</v>
      </c>
      <c r="I611" s="398" t="s">
        <v>1442</v>
      </c>
      <c r="J611" s="399" t="s">
        <v>1443</v>
      </c>
      <c r="K611" s="390" t="str">
        <f t="shared" si="26"/>
        <v>XXX18926617 XX</v>
      </c>
      <c r="L611" s="391" t="s">
        <v>1996</v>
      </c>
      <c r="M611" s="398" t="s">
        <v>708</v>
      </c>
      <c r="N611" s="399">
        <v>536</v>
      </c>
      <c r="O611" s="399" t="s">
        <v>1180</v>
      </c>
      <c r="P611" s="398" t="s">
        <v>1555</v>
      </c>
    </row>
    <row r="612" spans="1:16" s="401" customFormat="1" ht="24">
      <c r="A612" s="452">
        <f t="shared" si="25"/>
        <v>609</v>
      </c>
      <c r="B612" s="387">
        <v>46086</v>
      </c>
      <c r="C612" s="388">
        <v>46055</v>
      </c>
      <c r="D612" s="389" t="s">
        <v>166</v>
      </c>
      <c r="E612" s="398" t="s">
        <v>1210</v>
      </c>
      <c r="F612" s="404">
        <v>1562.58</v>
      </c>
      <c r="G612" s="397" t="s">
        <v>1593</v>
      </c>
      <c r="H612" s="389" t="s">
        <v>166</v>
      </c>
      <c r="I612" s="398" t="s">
        <v>1444</v>
      </c>
      <c r="J612" s="399" t="s">
        <v>1445</v>
      </c>
      <c r="K612" s="390" t="str">
        <f t="shared" si="26"/>
        <v>XXX47236680 XX</v>
      </c>
      <c r="L612" s="391" t="s">
        <v>1996</v>
      </c>
      <c r="M612" s="398" t="s">
        <v>708</v>
      </c>
      <c r="N612" s="399">
        <v>536</v>
      </c>
      <c r="O612" s="399" t="s">
        <v>1180</v>
      </c>
      <c r="P612" s="398" t="s">
        <v>1555</v>
      </c>
    </row>
    <row r="613" spans="1:16" s="401" customFormat="1" ht="24">
      <c r="A613" s="452">
        <f t="shared" si="25"/>
        <v>610</v>
      </c>
      <c r="B613" s="387">
        <v>46086</v>
      </c>
      <c r="C613" s="388">
        <v>46055</v>
      </c>
      <c r="D613" s="389" t="s">
        <v>166</v>
      </c>
      <c r="E613" s="398" t="s">
        <v>1210</v>
      </c>
      <c r="F613" s="404">
        <v>4017.97</v>
      </c>
      <c r="G613" s="397" t="s">
        <v>1593</v>
      </c>
      <c r="H613" s="389" t="s">
        <v>166</v>
      </c>
      <c r="I613" s="398" t="s">
        <v>1446</v>
      </c>
      <c r="J613" s="399" t="s">
        <v>1447</v>
      </c>
      <c r="K613" s="390" t="str">
        <f t="shared" si="26"/>
        <v>XXX65233674 XX</v>
      </c>
      <c r="L613" s="391" t="s">
        <v>1996</v>
      </c>
      <c r="M613" s="398" t="s">
        <v>708</v>
      </c>
      <c r="N613" s="399">
        <v>536</v>
      </c>
      <c r="O613" s="399" t="s">
        <v>1180</v>
      </c>
      <c r="P613" s="398" t="s">
        <v>1555</v>
      </c>
    </row>
    <row r="614" spans="1:16" s="401" customFormat="1" ht="24">
      <c r="A614" s="452">
        <f t="shared" si="25"/>
        <v>611</v>
      </c>
      <c r="B614" s="387">
        <v>46086</v>
      </c>
      <c r="C614" s="388">
        <v>46055</v>
      </c>
      <c r="D614" s="389" t="s">
        <v>166</v>
      </c>
      <c r="E614" s="398" t="s">
        <v>4</v>
      </c>
      <c r="F614" s="404">
        <v>6997.01</v>
      </c>
      <c r="G614" s="397" t="s">
        <v>1594</v>
      </c>
      <c r="H614" s="389" t="s">
        <v>166</v>
      </c>
      <c r="I614" s="398" t="s">
        <v>647</v>
      </c>
      <c r="J614" s="399" t="s">
        <v>648</v>
      </c>
      <c r="K614" s="390" t="str">
        <f t="shared" si="26"/>
        <v>XXX603050001XX</v>
      </c>
      <c r="L614" s="391" t="s">
        <v>1996</v>
      </c>
      <c r="M614" s="398" t="s">
        <v>718</v>
      </c>
      <c r="N614" s="399">
        <v>1777</v>
      </c>
      <c r="O614" s="399" t="s">
        <v>1180</v>
      </c>
      <c r="P614" s="398" t="s">
        <v>1555</v>
      </c>
    </row>
    <row r="615" spans="1:16" s="401" customFormat="1" ht="24">
      <c r="A615" s="452">
        <f t="shared" si="25"/>
        <v>612</v>
      </c>
      <c r="B615" s="387">
        <v>46086</v>
      </c>
      <c r="C615" s="388">
        <v>46055</v>
      </c>
      <c r="D615" s="389" t="s">
        <v>166</v>
      </c>
      <c r="E615" s="398" t="s">
        <v>4</v>
      </c>
      <c r="F615" s="404">
        <v>104849.34</v>
      </c>
      <c r="G615" s="397" t="s">
        <v>1595</v>
      </c>
      <c r="H615" s="389" t="s">
        <v>166</v>
      </c>
      <c r="I615" s="398" t="s">
        <v>647</v>
      </c>
      <c r="J615" s="399" t="s">
        <v>648</v>
      </c>
      <c r="K615" s="390" t="str">
        <f t="shared" si="26"/>
        <v>XXX603050001XX</v>
      </c>
      <c r="L615" s="391" t="s">
        <v>1996</v>
      </c>
      <c r="M615" s="398" t="s">
        <v>718</v>
      </c>
      <c r="N615" s="399">
        <v>1777</v>
      </c>
      <c r="O615" s="399" t="s">
        <v>1180</v>
      </c>
      <c r="P615" s="398" t="s">
        <v>1555</v>
      </c>
    </row>
    <row r="616" spans="1:16" s="401" customFormat="1" ht="48">
      <c r="A616" s="452">
        <f t="shared" si="25"/>
        <v>613</v>
      </c>
      <c r="B616" s="387">
        <v>46086</v>
      </c>
      <c r="C616" s="388">
        <v>46055</v>
      </c>
      <c r="D616" s="389" t="s">
        <v>166</v>
      </c>
      <c r="E616" s="398" t="s">
        <v>1210</v>
      </c>
      <c r="F616" s="404">
        <v>3360</v>
      </c>
      <c r="G616" s="397" t="s">
        <v>1596</v>
      </c>
      <c r="H616" s="389" t="s">
        <v>166</v>
      </c>
      <c r="I616" s="398" t="s">
        <v>1056</v>
      </c>
      <c r="J616" s="399" t="s">
        <v>1057</v>
      </c>
      <c r="K616" s="390" t="str">
        <f t="shared" si="26"/>
        <v>XXX849360001XX</v>
      </c>
      <c r="L616" s="391" t="s">
        <v>1996</v>
      </c>
      <c r="M616" s="398" t="s">
        <v>708</v>
      </c>
      <c r="N616" s="399">
        <v>196</v>
      </c>
      <c r="O616" s="399" t="s">
        <v>1180</v>
      </c>
      <c r="P616" s="398" t="s">
        <v>1555</v>
      </c>
    </row>
    <row r="617" spans="1:16" s="401" customFormat="1" ht="24">
      <c r="A617" s="452">
        <f t="shared" si="25"/>
        <v>614</v>
      </c>
      <c r="B617" s="387">
        <v>46086</v>
      </c>
      <c r="C617" s="388">
        <v>46055</v>
      </c>
      <c r="D617" s="389" t="s">
        <v>166</v>
      </c>
      <c r="E617" s="398" t="s">
        <v>1210</v>
      </c>
      <c r="F617" s="404">
        <v>1621</v>
      </c>
      <c r="G617" s="397" t="s">
        <v>1597</v>
      </c>
      <c r="H617" s="389" t="s">
        <v>166</v>
      </c>
      <c r="I617" s="398" t="s">
        <v>744</v>
      </c>
      <c r="J617" s="399" t="s">
        <v>1058</v>
      </c>
      <c r="K617" s="390" t="str">
        <f t="shared" si="26"/>
        <v>XXX373750001XX</v>
      </c>
      <c r="L617" s="391" t="s">
        <v>1996</v>
      </c>
      <c r="M617" s="398" t="s">
        <v>708</v>
      </c>
      <c r="N617" s="399">
        <v>196</v>
      </c>
      <c r="O617" s="399" t="s">
        <v>1180</v>
      </c>
      <c r="P617" s="398" t="s">
        <v>1555</v>
      </c>
    </row>
    <row r="618" spans="1:16" s="401" customFormat="1" ht="24">
      <c r="A618" s="452">
        <f t="shared" si="25"/>
        <v>615</v>
      </c>
      <c r="B618" s="387">
        <v>46086</v>
      </c>
      <c r="C618" s="388">
        <v>46055</v>
      </c>
      <c r="D618" s="389" t="s">
        <v>166</v>
      </c>
      <c r="E618" s="398" t="s">
        <v>1210</v>
      </c>
      <c r="F618" s="404">
        <v>947061</v>
      </c>
      <c r="G618" s="397" t="s">
        <v>1598</v>
      </c>
      <c r="H618" s="389" t="s">
        <v>166</v>
      </c>
      <c r="I618" s="398" t="s">
        <v>744</v>
      </c>
      <c r="J618" s="399" t="s">
        <v>1058</v>
      </c>
      <c r="K618" s="390" t="str">
        <f t="shared" si="26"/>
        <v>XXX373750001XX</v>
      </c>
      <c r="L618" s="391" t="s">
        <v>1996</v>
      </c>
      <c r="M618" s="398" t="s">
        <v>708</v>
      </c>
      <c r="N618" s="399">
        <v>196</v>
      </c>
      <c r="O618" s="399" t="s">
        <v>1180</v>
      </c>
      <c r="P618" s="398" t="s">
        <v>1555</v>
      </c>
    </row>
    <row r="619" spans="1:16" s="401" customFormat="1" ht="24">
      <c r="A619" s="452">
        <f t="shared" si="25"/>
        <v>616</v>
      </c>
      <c r="B619" s="387">
        <v>46086</v>
      </c>
      <c r="C619" s="388">
        <v>46055</v>
      </c>
      <c r="D619" s="389" t="s">
        <v>166</v>
      </c>
      <c r="E619" s="398" t="s">
        <v>1210</v>
      </c>
      <c r="F619" s="404">
        <v>1219.32</v>
      </c>
      <c r="G619" s="397" t="s">
        <v>1593</v>
      </c>
      <c r="H619" s="389" t="s">
        <v>166</v>
      </c>
      <c r="I619" s="398" t="s">
        <v>1448</v>
      </c>
      <c r="J619" s="399" t="s">
        <v>1449</v>
      </c>
      <c r="K619" s="390" t="str">
        <f t="shared" ref="K619:K669" si="28">IF(J619="","",IF(LEN(J619)&gt;14,IF(ISBLANK(J619),"",J619),REPLACE(REPLACE(J619,1,3,"XXX"),13,2,"XX")))</f>
        <v>XXX07044800 XX</v>
      </c>
      <c r="L619" s="391" t="s">
        <v>1996</v>
      </c>
      <c r="M619" s="398" t="s">
        <v>708</v>
      </c>
      <c r="N619" s="399">
        <v>536</v>
      </c>
      <c r="O619" s="399" t="s">
        <v>1180</v>
      </c>
      <c r="P619" s="398" t="s">
        <v>1555</v>
      </c>
    </row>
    <row r="620" spans="1:16" s="401" customFormat="1" ht="24">
      <c r="A620" s="452">
        <f t="shared" si="25"/>
        <v>617</v>
      </c>
      <c r="B620" s="387">
        <v>46086</v>
      </c>
      <c r="C620" s="388">
        <v>46083</v>
      </c>
      <c r="D620" s="389" t="s">
        <v>338</v>
      </c>
      <c r="E620" s="389" t="s">
        <v>338</v>
      </c>
      <c r="F620" s="404">
        <v>1842751</v>
      </c>
      <c r="G620" s="397" t="s">
        <v>1599</v>
      </c>
      <c r="H620" s="389" t="s">
        <v>280</v>
      </c>
      <c r="I620" s="394" t="s">
        <v>744</v>
      </c>
      <c r="J620" s="455">
        <v>7837375000150</v>
      </c>
      <c r="K620" s="390" t="str">
        <f t="shared" si="28"/>
        <v>XXX737500015XX</v>
      </c>
      <c r="L620" s="391" t="s">
        <v>1996</v>
      </c>
      <c r="M620" s="398" t="s">
        <v>707</v>
      </c>
      <c r="N620" s="399">
        <v>32026</v>
      </c>
      <c r="O620" s="399" t="s">
        <v>1521</v>
      </c>
      <c r="P620" s="398" t="s">
        <v>1555</v>
      </c>
    </row>
    <row r="621" spans="1:16" s="401" customFormat="1" ht="48">
      <c r="A621" s="452">
        <f t="shared" si="25"/>
        <v>618</v>
      </c>
      <c r="B621" s="387">
        <v>46086</v>
      </c>
      <c r="C621" s="388">
        <v>46083</v>
      </c>
      <c r="D621" s="389" t="s">
        <v>248</v>
      </c>
      <c r="E621" s="398" t="s">
        <v>607</v>
      </c>
      <c r="F621" s="404">
        <v>196.39</v>
      </c>
      <c r="G621" s="397" t="s">
        <v>1600</v>
      </c>
      <c r="H621" s="389" t="s">
        <v>736</v>
      </c>
      <c r="I621" s="398" t="s">
        <v>881</v>
      </c>
      <c r="J621" s="399" t="s">
        <v>773</v>
      </c>
      <c r="K621" s="390" t="str">
        <f t="shared" si="28"/>
        <v>XXX000000000XX</v>
      </c>
      <c r="L621" s="391" t="s">
        <v>1996</v>
      </c>
      <c r="M621" s="398" t="s">
        <v>710</v>
      </c>
      <c r="N621" s="399">
        <v>197839</v>
      </c>
      <c r="O621" s="399" t="s">
        <v>1524</v>
      </c>
      <c r="P621" s="398" t="s">
        <v>735</v>
      </c>
    </row>
    <row r="622" spans="1:16" s="401" customFormat="1" ht="48">
      <c r="A622" s="452">
        <f t="shared" si="25"/>
        <v>619</v>
      </c>
      <c r="B622" s="387">
        <v>46086</v>
      </c>
      <c r="C622" s="388">
        <v>46083</v>
      </c>
      <c r="D622" s="389" t="s">
        <v>248</v>
      </c>
      <c r="E622" s="398" t="s">
        <v>605</v>
      </c>
      <c r="F622" s="404">
        <v>55.77</v>
      </c>
      <c r="G622" s="397" t="s">
        <v>1600</v>
      </c>
      <c r="H622" s="389" t="s">
        <v>736</v>
      </c>
      <c r="I622" s="398" t="s">
        <v>881</v>
      </c>
      <c r="J622" s="399" t="s">
        <v>773</v>
      </c>
      <c r="K622" s="390" t="str">
        <f t="shared" si="28"/>
        <v>XXX000000000XX</v>
      </c>
      <c r="L622" s="391" t="s">
        <v>1996</v>
      </c>
      <c r="M622" s="398" t="s">
        <v>710</v>
      </c>
      <c r="N622" s="399">
        <v>197839</v>
      </c>
      <c r="O622" s="399" t="s">
        <v>1524</v>
      </c>
      <c r="P622" s="398" t="s">
        <v>735</v>
      </c>
    </row>
    <row r="623" spans="1:16" s="401" customFormat="1" ht="36">
      <c r="A623" s="452">
        <f t="shared" si="25"/>
        <v>620</v>
      </c>
      <c r="B623" s="387">
        <v>46086</v>
      </c>
      <c r="C623" s="388">
        <v>46083</v>
      </c>
      <c r="D623" s="389" t="s">
        <v>248</v>
      </c>
      <c r="E623" s="398" t="s">
        <v>590</v>
      </c>
      <c r="F623" s="404">
        <v>470.1</v>
      </c>
      <c r="G623" s="397" t="s">
        <v>1601</v>
      </c>
      <c r="H623" s="389" t="s">
        <v>736</v>
      </c>
      <c r="I623" s="398" t="s">
        <v>1425</v>
      </c>
      <c r="J623" s="399" t="s">
        <v>1426</v>
      </c>
      <c r="K623" s="390" t="str">
        <f t="shared" si="28"/>
        <v>XXX764860001XX</v>
      </c>
      <c r="L623" s="391" t="s">
        <v>1996</v>
      </c>
      <c r="M623" s="398" t="s">
        <v>704</v>
      </c>
      <c r="N623" s="399">
        <v>2352206</v>
      </c>
      <c r="O623" s="399" t="s">
        <v>1522</v>
      </c>
      <c r="P623" s="398" t="s">
        <v>1554</v>
      </c>
    </row>
    <row r="624" spans="1:16" s="401" customFormat="1" ht="36">
      <c r="A624" s="452">
        <f t="shared" si="25"/>
        <v>621</v>
      </c>
      <c r="B624" s="387">
        <v>46086</v>
      </c>
      <c r="C624" s="388">
        <v>46083</v>
      </c>
      <c r="D624" s="389" t="s">
        <v>248</v>
      </c>
      <c r="E624" s="398" t="s">
        <v>590</v>
      </c>
      <c r="F624" s="404">
        <v>501.94</v>
      </c>
      <c r="G624" s="397" t="s">
        <v>1602</v>
      </c>
      <c r="H624" s="389" t="s">
        <v>736</v>
      </c>
      <c r="I624" s="398" t="s">
        <v>1425</v>
      </c>
      <c r="J624" s="399" t="s">
        <v>1426</v>
      </c>
      <c r="K624" s="390" t="str">
        <f t="shared" si="28"/>
        <v>XXX764860001XX</v>
      </c>
      <c r="L624" s="391" t="s">
        <v>1996</v>
      </c>
      <c r="M624" s="398" t="s">
        <v>704</v>
      </c>
      <c r="N624" s="399">
        <v>2352205</v>
      </c>
      <c r="O624" s="399" t="s">
        <v>1522</v>
      </c>
      <c r="P624" s="398" t="s">
        <v>1554</v>
      </c>
    </row>
    <row r="625" spans="1:16" s="401" customFormat="1" ht="36">
      <c r="A625" s="452">
        <f t="shared" si="25"/>
        <v>622</v>
      </c>
      <c r="B625" s="387">
        <v>46086</v>
      </c>
      <c r="C625" s="388">
        <v>46083</v>
      </c>
      <c r="D625" s="389" t="s">
        <v>166</v>
      </c>
      <c r="E625" s="398" t="s">
        <v>586</v>
      </c>
      <c r="F625" s="404">
        <v>1560</v>
      </c>
      <c r="G625" s="397" t="s">
        <v>1603</v>
      </c>
      <c r="H625" s="389" t="s">
        <v>166</v>
      </c>
      <c r="I625" s="398" t="s">
        <v>620</v>
      </c>
      <c r="J625" s="399" t="s">
        <v>621</v>
      </c>
      <c r="K625" s="390" t="str">
        <f t="shared" si="28"/>
        <v>XXX408760001XX</v>
      </c>
      <c r="L625" s="391" t="s">
        <v>1996</v>
      </c>
      <c r="M625" s="398" t="s">
        <v>706</v>
      </c>
      <c r="N625" s="399">
        <v>2057887390</v>
      </c>
      <c r="O625" s="399" t="s">
        <v>1524</v>
      </c>
      <c r="P625" s="398" t="s">
        <v>1555</v>
      </c>
    </row>
    <row r="626" spans="1:16" s="401" customFormat="1" ht="36">
      <c r="A626" s="452">
        <f t="shared" si="25"/>
        <v>623</v>
      </c>
      <c r="B626" s="387">
        <v>46086</v>
      </c>
      <c r="C626" s="388">
        <v>46083</v>
      </c>
      <c r="D626" s="389" t="s">
        <v>166</v>
      </c>
      <c r="E626" s="398" t="s">
        <v>586</v>
      </c>
      <c r="F626" s="404">
        <v>328.8</v>
      </c>
      <c r="G626" s="397" t="s">
        <v>1604</v>
      </c>
      <c r="H626" s="389" t="s">
        <v>166</v>
      </c>
      <c r="I626" s="398" t="s">
        <v>620</v>
      </c>
      <c r="J626" s="399" t="s">
        <v>621</v>
      </c>
      <c r="K626" s="390" t="str">
        <f t="shared" si="28"/>
        <v>XXX408760001XX</v>
      </c>
      <c r="L626" s="391" t="s">
        <v>1996</v>
      </c>
      <c r="M626" s="398" t="s">
        <v>706</v>
      </c>
      <c r="N626" s="399">
        <v>2057887391</v>
      </c>
      <c r="O626" s="399" t="s">
        <v>1524</v>
      </c>
      <c r="P626" s="398" t="s">
        <v>1555</v>
      </c>
    </row>
    <row r="627" spans="1:16" s="401" customFormat="1" ht="72">
      <c r="A627" s="452">
        <f t="shared" si="25"/>
        <v>624</v>
      </c>
      <c r="B627" s="387">
        <v>46086</v>
      </c>
      <c r="C627" s="388">
        <v>46083</v>
      </c>
      <c r="D627" s="389" t="s">
        <v>248</v>
      </c>
      <c r="E627" s="393" t="s">
        <v>170</v>
      </c>
      <c r="F627" s="404">
        <v>2879.04</v>
      </c>
      <c r="G627" s="397" t="s">
        <v>1605</v>
      </c>
      <c r="H627" s="389" t="s">
        <v>1029</v>
      </c>
      <c r="I627" s="398" t="s">
        <v>1450</v>
      </c>
      <c r="J627" s="399" t="s">
        <v>1451</v>
      </c>
      <c r="K627" s="390" t="str">
        <f t="shared" si="28"/>
        <v>XXX217840001XX</v>
      </c>
      <c r="L627" s="391" t="s">
        <v>1996</v>
      </c>
      <c r="M627" s="398" t="s">
        <v>706</v>
      </c>
      <c r="N627" s="399">
        <v>2057887393</v>
      </c>
      <c r="O627" s="399" t="s">
        <v>1524</v>
      </c>
      <c r="P627" s="398" t="s">
        <v>1553</v>
      </c>
    </row>
    <row r="628" spans="1:16" s="401" customFormat="1" ht="84">
      <c r="A628" s="452">
        <f t="shared" si="25"/>
        <v>625</v>
      </c>
      <c r="B628" s="387">
        <v>46086</v>
      </c>
      <c r="C628" s="388">
        <v>46083</v>
      </c>
      <c r="D628" s="389" t="s">
        <v>248</v>
      </c>
      <c r="E628" s="393" t="s">
        <v>164</v>
      </c>
      <c r="F628" s="404">
        <v>2249.25</v>
      </c>
      <c r="G628" s="397" t="s">
        <v>1606</v>
      </c>
      <c r="H628" s="389" t="s">
        <v>1029</v>
      </c>
      <c r="I628" s="398" t="s">
        <v>1450</v>
      </c>
      <c r="J628" s="399" t="s">
        <v>1451</v>
      </c>
      <c r="K628" s="390" t="str">
        <f t="shared" si="28"/>
        <v>XXX217840001XX</v>
      </c>
      <c r="L628" s="391" t="s">
        <v>1996</v>
      </c>
      <c r="M628" s="398" t="s">
        <v>706</v>
      </c>
      <c r="N628" s="399">
        <v>2057887395</v>
      </c>
      <c r="O628" s="399" t="s">
        <v>1524</v>
      </c>
      <c r="P628" s="398" t="s">
        <v>1553</v>
      </c>
    </row>
    <row r="629" spans="1:16" s="401" customFormat="1" ht="36">
      <c r="A629" s="452">
        <f t="shared" si="25"/>
        <v>626</v>
      </c>
      <c r="B629" s="387">
        <v>46087</v>
      </c>
      <c r="C629" s="388">
        <v>46055</v>
      </c>
      <c r="D629" s="389" t="s">
        <v>166</v>
      </c>
      <c r="E629" s="398" t="s">
        <v>581</v>
      </c>
      <c r="F629" s="404">
        <v>579.76</v>
      </c>
      <c r="G629" s="397" t="s">
        <v>1607</v>
      </c>
      <c r="H629" s="389" t="s">
        <v>166</v>
      </c>
      <c r="I629" s="398" t="s">
        <v>1452</v>
      </c>
      <c r="J629" s="399" t="s">
        <v>1453</v>
      </c>
      <c r="K629" s="390" t="str">
        <f t="shared" si="28"/>
        <v>XXX533050001XX</v>
      </c>
      <c r="L629" s="391" t="s">
        <v>1996</v>
      </c>
      <c r="M629" s="398" t="s">
        <v>704</v>
      </c>
      <c r="N629" s="399">
        <v>3649</v>
      </c>
      <c r="O629" s="399" t="s">
        <v>1200</v>
      </c>
      <c r="P629" s="398" t="s">
        <v>1553</v>
      </c>
    </row>
    <row r="630" spans="1:16" s="401" customFormat="1" ht="36">
      <c r="A630" s="452">
        <f t="shared" si="25"/>
        <v>627</v>
      </c>
      <c r="B630" s="387">
        <v>46087</v>
      </c>
      <c r="C630" s="388">
        <v>46055</v>
      </c>
      <c r="D630" s="389" t="s">
        <v>166</v>
      </c>
      <c r="E630" s="398" t="s">
        <v>581</v>
      </c>
      <c r="F630" s="404">
        <v>662.66</v>
      </c>
      <c r="G630" s="397" t="s">
        <v>1608</v>
      </c>
      <c r="H630" s="389" t="s">
        <v>166</v>
      </c>
      <c r="I630" s="398" t="s">
        <v>611</v>
      </c>
      <c r="J630" s="399" t="s">
        <v>612</v>
      </c>
      <c r="K630" s="390" t="str">
        <f t="shared" si="28"/>
        <v>XXX312660001XX</v>
      </c>
      <c r="L630" s="391" t="s">
        <v>1996</v>
      </c>
      <c r="M630" s="398" t="s">
        <v>704</v>
      </c>
      <c r="N630" s="399">
        <v>7536</v>
      </c>
      <c r="O630" s="399" t="s">
        <v>1519</v>
      </c>
      <c r="P630" s="398" t="s">
        <v>1553</v>
      </c>
    </row>
    <row r="631" spans="1:16" s="401" customFormat="1" ht="36">
      <c r="A631" s="452">
        <f t="shared" si="25"/>
        <v>628</v>
      </c>
      <c r="B631" s="387">
        <v>46087</v>
      </c>
      <c r="C631" s="388">
        <v>46083</v>
      </c>
      <c r="D631" s="389" t="s">
        <v>353</v>
      </c>
      <c r="E631" s="394" t="s">
        <v>334</v>
      </c>
      <c r="F631" s="404">
        <v>60</v>
      </c>
      <c r="G631" s="397" t="s">
        <v>1609</v>
      </c>
      <c r="H631" s="389" t="s">
        <v>280</v>
      </c>
      <c r="I631" s="394" t="s">
        <v>744</v>
      </c>
      <c r="J631" s="455">
        <v>7837375000150</v>
      </c>
      <c r="K631" s="390" t="str">
        <f t="shared" si="28"/>
        <v>XXX737500015XX</v>
      </c>
      <c r="L631" s="391" t="s">
        <v>1996</v>
      </c>
      <c r="M631" s="398" t="s">
        <v>708</v>
      </c>
      <c r="N631" s="399">
        <v>32026</v>
      </c>
      <c r="O631" s="399" t="s">
        <v>1521</v>
      </c>
      <c r="P631" s="398" t="s">
        <v>1553</v>
      </c>
    </row>
    <row r="632" spans="1:16" s="401" customFormat="1" ht="36">
      <c r="A632" s="452">
        <f t="shared" si="25"/>
        <v>629</v>
      </c>
      <c r="B632" s="387">
        <v>46087</v>
      </c>
      <c r="C632" s="388">
        <v>46083</v>
      </c>
      <c r="D632" s="389" t="s">
        <v>353</v>
      </c>
      <c r="E632" s="394" t="s">
        <v>334</v>
      </c>
      <c r="F632" s="404">
        <v>100</v>
      </c>
      <c r="G632" s="397" t="s">
        <v>1610</v>
      </c>
      <c r="H632" s="389" t="s">
        <v>280</v>
      </c>
      <c r="I632" s="394" t="s">
        <v>744</v>
      </c>
      <c r="J632" s="455">
        <v>7837375000150</v>
      </c>
      <c r="K632" s="390" t="str">
        <f t="shared" si="28"/>
        <v>XXX737500015XX</v>
      </c>
      <c r="L632" s="391" t="s">
        <v>1996</v>
      </c>
      <c r="M632" s="398" t="s">
        <v>708</v>
      </c>
      <c r="N632" s="399">
        <v>32026</v>
      </c>
      <c r="O632" s="399" t="s">
        <v>1521</v>
      </c>
      <c r="P632" s="398" t="s">
        <v>1553</v>
      </c>
    </row>
    <row r="633" spans="1:16" s="401" customFormat="1" ht="36">
      <c r="A633" s="452">
        <f t="shared" si="25"/>
        <v>630</v>
      </c>
      <c r="B633" s="387">
        <v>46087</v>
      </c>
      <c r="C633" s="388">
        <v>46055</v>
      </c>
      <c r="D633" s="389" t="s">
        <v>353</v>
      </c>
      <c r="E633" s="394" t="s">
        <v>153</v>
      </c>
      <c r="F633" s="404">
        <v>43677.9</v>
      </c>
      <c r="G633" s="397" t="s">
        <v>1611</v>
      </c>
      <c r="H633" s="389" t="s">
        <v>280</v>
      </c>
      <c r="I633" s="394" t="s">
        <v>744</v>
      </c>
      <c r="J633" s="455">
        <v>7837375000150</v>
      </c>
      <c r="K633" s="390" t="str">
        <f t="shared" si="28"/>
        <v>XXX737500015XX</v>
      </c>
      <c r="L633" s="391" t="s">
        <v>1996</v>
      </c>
      <c r="M633" s="398" t="s">
        <v>707</v>
      </c>
      <c r="N633" s="399">
        <v>74542</v>
      </c>
      <c r="O633" s="399" t="s">
        <v>1523</v>
      </c>
      <c r="P633" s="398" t="s">
        <v>1553</v>
      </c>
    </row>
    <row r="634" spans="1:16" s="401" customFormat="1" ht="48">
      <c r="A634" s="452">
        <f t="shared" si="25"/>
        <v>631</v>
      </c>
      <c r="B634" s="387">
        <v>46087</v>
      </c>
      <c r="C634" s="388">
        <v>46083</v>
      </c>
      <c r="D634" s="389" t="s">
        <v>353</v>
      </c>
      <c r="E634" s="394" t="s">
        <v>334</v>
      </c>
      <c r="F634" s="404">
        <v>1500000</v>
      </c>
      <c r="G634" s="397" t="s">
        <v>1612</v>
      </c>
      <c r="H634" s="389" t="s">
        <v>280</v>
      </c>
      <c r="I634" s="394" t="s">
        <v>744</v>
      </c>
      <c r="J634" s="455">
        <v>7837375000150</v>
      </c>
      <c r="K634" s="390" t="str">
        <f t="shared" si="28"/>
        <v>XXX737500015XX</v>
      </c>
      <c r="L634" s="391" t="s">
        <v>1996</v>
      </c>
      <c r="M634" s="398" t="s">
        <v>719</v>
      </c>
      <c r="N634" s="399">
        <v>32026</v>
      </c>
      <c r="O634" s="399" t="s">
        <v>1526</v>
      </c>
      <c r="P634" s="398" t="s">
        <v>1556</v>
      </c>
    </row>
    <row r="635" spans="1:16" s="401" customFormat="1" ht="72">
      <c r="A635" s="452">
        <f t="shared" si="25"/>
        <v>632</v>
      </c>
      <c r="B635" s="387">
        <v>46090</v>
      </c>
      <c r="C635" s="388">
        <v>46055</v>
      </c>
      <c r="D635" s="389" t="s">
        <v>248</v>
      </c>
      <c r="E635" s="395" t="s">
        <v>78</v>
      </c>
      <c r="F635" s="404">
        <v>25.2</v>
      </c>
      <c r="G635" s="397" t="s">
        <v>1832</v>
      </c>
      <c r="H635" s="389" t="s">
        <v>1029</v>
      </c>
      <c r="I635" s="398" t="s">
        <v>635</v>
      </c>
      <c r="J635" s="399" t="s">
        <v>636</v>
      </c>
      <c r="K635" s="390" t="str">
        <f t="shared" si="28"/>
        <v>XXX153830001XX</v>
      </c>
      <c r="L635" s="391" t="s">
        <v>1996</v>
      </c>
      <c r="M635" s="398" t="s">
        <v>712</v>
      </c>
      <c r="N635" s="399">
        <v>398</v>
      </c>
      <c r="O635" s="399" t="s">
        <v>1179</v>
      </c>
      <c r="P635" s="398" t="s">
        <v>1553</v>
      </c>
    </row>
    <row r="636" spans="1:16" s="401" customFormat="1" ht="36">
      <c r="A636" s="452">
        <f t="shared" si="25"/>
        <v>633</v>
      </c>
      <c r="B636" s="387">
        <v>46090</v>
      </c>
      <c r="C636" s="388">
        <v>46055</v>
      </c>
      <c r="D636" s="389" t="s">
        <v>248</v>
      </c>
      <c r="E636" s="398" t="s">
        <v>595</v>
      </c>
      <c r="F636" s="404">
        <v>175</v>
      </c>
      <c r="G636" s="397" t="s">
        <v>1833</v>
      </c>
      <c r="H636" s="389" t="s">
        <v>738</v>
      </c>
      <c r="I636" s="398" t="s">
        <v>635</v>
      </c>
      <c r="J636" s="399" t="s">
        <v>636</v>
      </c>
      <c r="K636" s="390" t="str">
        <f t="shared" si="28"/>
        <v>XXX153830001XX</v>
      </c>
      <c r="L636" s="391" t="s">
        <v>1996</v>
      </c>
      <c r="M636" s="398" t="s">
        <v>712</v>
      </c>
      <c r="N636" s="399">
        <v>15328</v>
      </c>
      <c r="O636" s="399" t="s">
        <v>1181</v>
      </c>
      <c r="P636" s="398" t="s">
        <v>1554</v>
      </c>
    </row>
    <row r="637" spans="1:16" s="401" customFormat="1" ht="36">
      <c r="A637" s="452">
        <f t="shared" si="25"/>
        <v>634</v>
      </c>
      <c r="B637" s="387">
        <v>46090</v>
      </c>
      <c r="C637" s="388">
        <v>46055</v>
      </c>
      <c r="D637" s="389" t="s">
        <v>248</v>
      </c>
      <c r="E637" s="395" t="s">
        <v>171</v>
      </c>
      <c r="F637" s="404">
        <v>211.25</v>
      </c>
      <c r="G637" s="397" t="s">
        <v>1834</v>
      </c>
      <c r="H637" s="389" t="s">
        <v>278</v>
      </c>
      <c r="I637" s="398" t="s">
        <v>635</v>
      </c>
      <c r="J637" s="399" t="s">
        <v>636</v>
      </c>
      <c r="K637" s="390" t="str">
        <f t="shared" si="28"/>
        <v>XXX153830001XX</v>
      </c>
      <c r="L637" s="391" t="s">
        <v>1996</v>
      </c>
      <c r="M637" s="398" t="s">
        <v>712</v>
      </c>
      <c r="N637" s="399">
        <v>25</v>
      </c>
      <c r="O637" s="399" t="s">
        <v>1181</v>
      </c>
      <c r="P637" s="398" t="s">
        <v>1554</v>
      </c>
    </row>
    <row r="638" spans="1:16" s="401" customFormat="1" ht="36">
      <c r="A638" s="452">
        <f t="shared" si="25"/>
        <v>635</v>
      </c>
      <c r="B638" s="387">
        <v>46090</v>
      </c>
      <c r="C638" s="388">
        <v>46055</v>
      </c>
      <c r="D638" s="389" t="s">
        <v>248</v>
      </c>
      <c r="E638" s="398" t="s">
        <v>592</v>
      </c>
      <c r="F638" s="404">
        <v>16.2</v>
      </c>
      <c r="G638" s="397" t="s">
        <v>1835</v>
      </c>
      <c r="H638" s="389" t="s">
        <v>737</v>
      </c>
      <c r="I638" s="398" t="s">
        <v>635</v>
      </c>
      <c r="J638" s="399" t="s">
        <v>636</v>
      </c>
      <c r="K638" s="390" t="str">
        <f t="shared" si="28"/>
        <v>XXX153830001XX</v>
      </c>
      <c r="L638" s="391" t="s">
        <v>1996</v>
      </c>
      <c r="M638" s="398" t="s">
        <v>712</v>
      </c>
      <c r="N638" s="399">
        <v>295</v>
      </c>
      <c r="O638" s="399" t="s">
        <v>1181</v>
      </c>
      <c r="P638" s="398" t="s">
        <v>1554</v>
      </c>
    </row>
    <row r="639" spans="1:16" s="401" customFormat="1" ht="47.25" customHeight="1">
      <c r="A639" s="452">
        <f t="shared" si="25"/>
        <v>636</v>
      </c>
      <c r="B639" s="387">
        <v>46090</v>
      </c>
      <c r="C639" s="388">
        <v>46055</v>
      </c>
      <c r="D639" s="389" t="s">
        <v>248</v>
      </c>
      <c r="E639" s="398" t="s">
        <v>595</v>
      </c>
      <c r="F639" s="404">
        <v>844.5</v>
      </c>
      <c r="G639" s="397" t="s">
        <v>1836</v>
      </c>
      <c r="H639" s="389" t="s">
        <v>738</v>
      </c>
      <c r="I639" s="398" t="s">
        <v>635</v>
      </c>
      <c r="J639" s="399" t="s">
        <v>636</v>
      </c>
      <c r="K639" s="390" t="str">
        <f t="shared" si="28"/>
        <v>XXX153830001XX</v>
      </c>
      <c r="L639" s="391" t="s">
        <v>1996</v>
      </c>
      <c r="M639" s="398" t="s">
        <v>712</v>
      </c>
      <c r="N639" s="399">
        <v>12</v>
      </c>
      <c r="O639" s="399" t="s">
        <v>1178</v>
      </c>
      <c r="P639" s="398" t="s">
        <v>1553</v>
      </c>
    </row>
    <row r="640" spans="1:16" s="401" customFormat="1" ht="72">
      <c r="A640" s="452">
        <f t="shared" si="25"/>
        <v>637</v>
      </c>
      <c r="B640" s="387">
        <v>46090</v>
      </c>
      <c r="C640" s="388">
        <v>46055</v>
      </c>
      <c r="D640" s="389" t="s">
        <v>248</v>
      </c>
      <c r="E640" s="398" t="s">
        <v>1213</v>
      </c>
      <c r="F640" s="404">
        <v>450</v>
      </c>
      <c r="G640" s="397" t="s">
        <v>1837</v>
      </c>
      <c r="H640" s="392" t="s">
        <v>278</v>
      </c>
      <c r="I640" s="398" t="s">
        <v>635</v>
      </c>
      <c r="J640" s="399" t="s">
        <v>636</v>
      </c>
      <c r="K640" s="390" t="str">
        <f t="shared" si="28"/>
        <v>XXX153830001XX</v>
      </c>
      <c r="L640" s="391" t="s">
        <v>1996</v>
      </c>
      <c r="M640" s="398" t="s">
        <v>712</v>
      </c>
      <c r="N640" s="399">
        <v>29</v>
      </c>
      <c r="O640" s="399" t="s">
        <v>1178</v>
      </c>
      <c r="P640" s="398" t="s">
        <v>1554</v>
      </c>
    </row>
    <row r="641" spans="1:16" s="401" customFormat="1" ht="36">
      <c r="A641" s="452">
        <f t="shared" si="25"/>
        <v>638</v>
      </c>
      <c r="B641" s="387">
        <v>46090</v>
      </c>
      <c r="C641" s="388">
        <v>46055</v>
      </c>
      <c r="D641" s="389" t="s">
        <v>248</v>
      </c>
      <c r="E641" s="398" t="s">
        <v>592</v>
      </c>
      <c r="F641" s="404">
        <v>85.86</v>
      </c>
      <c r="G641" s="397" t="s">
        <v>1838</v>
      </c>
      <c r="H641" s="389" t="s">
        <v>737</v>
      </c>
      <c r="I641" s="398" t="s">
        <v>635</v>
      </c>
      <c r="J641" s="399" t="s">
        <v>636</v>
      </c>
      <c r="K641" s="390" t="str">
        <f t="shared" si="28"/>
        <v>XXX153830001XX</v>
      </c>
      <c r="L641" s="391" t="s">
        <v>1996</v>
      </c>
      <c r="M641" s="398" t="s">
        <v>712</v>
      </c>
      <c r="N641" s="399">
        <v>232</v>
      </c>
      <c r="O641" s="399" t="s">
        <v>1178</v>
      </c>
      <c r="P641" s="398" t="s">
        <v>1553</v>
      </c>
    </row>
    <row r="642" spans="1:16" s="401" customFormat="1" ht="48">
      <c r="A642" s="452">
        <f t="shared" si="25"/>
        <v>639</v>
      </c>
      <c r="B642" s="387">
        <v>46090</v>
      </c>
      <c r="C642" s="388">
        <v>46055</v>
      </c>
      <c r="D642" s="389" t="s">
        <v>248</v>
      </c>
      <c r="E642" s="393" t="s">
        <v>164</v>
      </c>
      <c r="F642" s="404">
        <v>57.53</v>
      </c>
      <c r="G642" s="397" t="s">
        <v>1811</v>
      </c>
      <c r="H642" s="389" t="s">
        <v>278</v>
      </c>
      <c r="I642" s="398" t="s">
        <v>635</v>
      </c>
      <c r="J642" s="399" t="s">
        <v>636</v>
      </c>
      <c r="K642" s="390" t="str">
        <f t="shared" si="28"/>
        <v>XXX153830001XX</v>
      </c>
      <c r="L642" s="391" t="s">
        <v>1996</v>
      </c>
      <c r="M642" s="398" t="s">
        <v>712</v>
      </c>
      <c r="N642" s="399">
        <v>27</v>
      </c>
      <c r="O642" s="399" t="s">
        <v>1182</v>
      </c>
      <c r="P642" s="398" t="s">
        <v>1554</v>
      </c>
    </row>
    <row r="643" spans="1:16" s="401" customFormat="1" ht="36">
      <c r="A643" s="452">
        <f t="shared" si="25"/>
        <v>640</v>
      </c>
      <c r="B643" s="387">
        <v>46090</v>
      </c>
      <c r="C643" s="388">
        <v>46055</v>
      </c>
      <c r="D643" s="389" t="s">
        <v>248</v>
      </c>
      <c r="E643" s="393" t="s">
        <v>164</v>
      </c>
      <c r="F643" s="404">
        <v>15.38</v>
      </c>
      <c r="G643" s="397" t="s">
        <v>1839</v>
      </c>
      <c r="H643" s="392" t="s">
        <v>278</v>
      </c>
      <c r="I643" s="398" t="s">
        <v>635</v>
      </c>
      <c r="J643" s="399" t="s">
        <v>636</v>
      </c>
      <c r="K643" s="390" t="str">
        <f t="shared" si="28"/>
        <v>XXX153830001XX</v>
      </c>
      <c r="L643" s="391" t="s">
        <v>1996</v>
      </c>
      <c r="M643" s="398" t="s">
        <v>712</v>
      </c>
      <c r="N643" s="399">
        <v>519</v>
      </c>
      <c r="O643" s="399" t="s">
        <v>1180</v>
      </c>
      <c r="P643" s="398" t="s">
        <v>1553</v>
      </c>
    </row>
    <row r="644" spans="1:16" s="401" customFormat="1" ht="72">
      <c r="A644" s="452">
        <f t="shared" ref="A644:A707" si="29">IF(B644="","",ROW()-ROW($A$3))</f>
        <v>641</v>
      </c>
      <c r="B644" s="387">
        <v>46090</v>
      </c>
      <c r="C644" s="388">
        <v>46055</v>
      </c>
      <c r="D644" s="389" t="s">
        <v>248</v>
      </c>
      <c r="E644" s="398" t="s">
        <v>600</v>
      </c>
      <c r="F644" s="404">
        <v>92.4</v>
      </c>
      <c r="G644" s="397" t="s">
        <v>1840</v>
      </c>
      <c r="H644" s="389" t="s">
        <v>737</v>
      </c>
      <c r="I644" s="398" t="s">
        <v>635</v>
      </c>
      <c r="J644" s="399" t="s">
        <v>636</v>
      </c>
      <c r="K644" s="390" t="str">
        <f t="shared" si="28"/>
        <v>XXX153830001XX</v>
      </c>
      <c r="L644" s="391" t="s">
        <v>1996</v>
      </c>
      <c r="M644" s="398" t="s">
        <v>712</v>
      </c>
      <c r="N644" s="399">
        <v>30</v>
      </c>
      <c r="O644" s="399" t="s">
        <v>1185</v>
      </c>
      <c r="P644" s="398" t="s">
        <v>1553</v>
      </c>
    </row>
    <row r="645" spans="1:16" s="401" customFormat="1" ht="120">
      <c r="A645" s="452">
        <f t="shared" si="29"/>
        <v>642</v>
      </c>
      <c r="B645" s="387">
        <v>46090</v>
      </c>
      <c r="C645" s="388">
        <v>46055</v>
      </c>
      <c r="D645" s="389" t="s">
        <v>248</v>
      </c>
      <c r="E645" s="393" t="s">
        <v>164</v>
      </c>
      <c r="F645" s="404">
        <v>52.08</v>
      </c>
      <c r="G645" s="397" t="s">
        <v>1841</v>
      </c>
      <c r="H645" s="389" t="s">
        <v>278</v>
      </c>
      <c r="I645" s="398" t="s">
        <v>635</v>
      </c>
      <c r="J645" s="399" t="s">
        <v>636</v>
      </c>
      <c r="K645" s="390" t="str">
        <f t="shared" si="28"/>
        <v>XXX153830001XX</v>
      </c>
      <c r="L645" s="391" t="s">
        <v>1996</v>
      </c>
      <c r="M645" s="398" t="s">
        <v>712</v>
      </c>
      <c r="N645" s="399">
        <v>11</v>
      </c>
      <c r="O645" s="399" t="s">
        <v>1185</v>
      </c>
      <c r="P645" s="398" t="s">
        <v>1553</v>
      </c>
    </row>
    <row r="646" spans="1:16" s="401" customFormat="1" ht="36">
      <c r="A646" s="452">
        <f t="shared" si="29"/>
        <v>643</v>
      </c>
      <c r="B646" s="387">
        <v>46090</v>
      </c>
      <c r="C646" s="388">
        <v>46055</v>
      </c>
      <c r="D646" s="389" t="s">
        <v>248</v>
      </c>
      <c r="E646" s="398" t="s">
        <v>605</v>
      </c>
      <c r="F646" s="404">
        <v>3.22</v>
      </c>
      <c r="G646" s="397" t="s">
        <v>1842</v>
      </c>
      <c r="H646" s="389" t="s">
        <v>278</v>
      </c>
      <c r="I646" s="398" t="s">
        <v>635</v>
      </c>
      <c r="J646" s="399" t="s">
        <v>636</v>
      </c>
      <c r="K646" s="390" t="str">
        <f t="shared" si="28"/>
        <v>XXX153830001XX</v>
      </c>
      <c r="L646" s="391" t="s">
        <v>1996</v>
      </c>
      <c r="M646" s="398" t="s">
        <v>712</v>
      </c>
      <c r="N646" s="399">
        <v>1753</v>
      </c>
      <c r="O646" s="399" t="s">
        <v>1188</v>
      </c>
      <c r="P646" s="398" t="s">
        <v>1553</v>
      </c>
    </row>
    <row r="647" spans="1:16" s="401" customFormat="1" ht="36">
      <c r="A647" s="452">
        <f t="shared" si="29"/>
        <v>644</v>
      </c>
      <c r="B647" s="387">
        <v>46090</v>
      </c>
      <c r="C647" s="388">
        <v>46055</v>
      </c>
      <c r="D647" s="389" t="s">
        <v>248</v>
      </c>
      <c r="E647" s="395" t="s">
        <v>171</v>
      </c>
      <c r="F647" s="404">
        <v>33.409999999999997</v>
      </c>
      <c r="G647" s="397" t="s">
        <v>1843</v>
      </c>
      <c r="H647" s="389" t="s">
        <v>278</v>
      </c>
      <c r="I647" s="398" t="s">
        <v>635</v>
      </c>
      <c r="J647" s="399" t="s">
        <v>636</v>
      </c>
      <c r="K647" s="390" t="str">
        <f t="shared" si="28"/>
        <v>XXX153830001XX</v>
      </c>
      <c r="L647" s="391" t="s">
        <v>1996</v>
      </c>
      <c r="M647" s="398" t="s">
        <v>712</v>
      </c>
      <c r="N647" s="399">
        <v>167</v>
      </c>
      <c r="O647" s="399" t="s">
        <v>1189</v>
      </c>
      <c r="P647" s="398" t="s">
        <v>1553</v>
      </c>
    </row>
    <row r="648" spans="1:16" s="401" customFormat="1" ht="48">
      <c r="A648" s="452">
        <f t="shared" si="29"/>
        <v>645</v>
      </c>
      <c r="B648" s="387">
        <v>46090</v>
      </c>
      <c r="C648" s="388">
        <v>46055</v>
      </c>
      <c r="D648" s="389" t="s">
        <v>248</v>
      </c>
      <c r="E648" s="398" t="s">
        <v>593</v>
      </c>
      <c r="F648" s="404">
        <v>3275.06</v>
      </c>
      <c r="G648" s="397" t="s">
        <v>1844</v>
      </c>
      <c r="H648" s="389" t="s">
        <v>736</v>
      </c>
      <c r="I648" s="398" t="s">
        <v>635</v>
      </c>
      <c r="J648" s="399" t="s">
        <v>636</v>
      </c>
      <c r="K648" s="390" t="str">
        <f t="shared" si="28"/>
        <v>XXX153830001XX</v>
      </c>
      <c r="L648" s="391" t="s">
        <v>1996</v>
      </c>
      <c r="M648" s="398" t="s">
        <v>712</v>
      </c>
      <c r="N648" s="399">
        <v>1</v>
      </c>
      <c r="O648" s="399" t="s">
        <v>1178</v>
      </c>
      <c r="P648" s="398" t="s">
        <v>1553</v>
      </c>
    </row>
    <row r="649" spans="1:16" s="401" customFormat="1" ht="36">
      <c r="A649" s="452">
        <f t="shared" si="29"/>
        <v>646</v>
      </c>
      <c r="B649" s="387">
        <v>46090</v>
      </c>
      <c r="C649" s="388">
        <v>46055</v>
      </c>
      <c r="D649" s="389" t="s">
        <v>248</v>
      </c>
      <c r="E649" s="398" t="s">
        <v>593</v>
      </c>
      <c r="F649" s="404">
        <v>540</v>
      </c>
      <c r="G649" s="397" t="s">
        <v>1845</v>
      </c>
      <c r="H649" s="389" t="s">
        <v>736</v>
      </c>
      <c r="I649" s="398" t="s">
        <v>635</v>
      </c>
      <c r="J649" s="399" t="s">
        <v>636</v>
      </c>
      <c r="K649" s="390" t="str">
        <f t="shared" si="28"/>
        <v>XXX153830001XX</v>
      </c>
      <c r="L649" s="391" t="s">
        <v>1996</v>
      </c>
      <c r="M649" s="398" t="s">
        <v>712</v>
      </c>
      <c r="N649" s="399">
        <v>109</v>
      </c>
      <c r="O649" s="399" t="s">
        <v>1180</v>
      </c>
      <c r="P649" s="398" t="s">
        <v>1553</v>
      </c>
    </row>
    <row r="650" spans="1:16" s="401" customFormat="1" ht="36">
      <c r="A650" s="452">
        <f t="shared" si="29"/>
        <v>647</v>
      </c>
      <c r="B650" s="387">
        <v>46090</v>
      </c>
      <c r="C650" s="388">
        <v>46055</v>
      </c>
      <c r="D650" s="389" t="s">
        <v>248</v>
      </c>
      <c r="E650" s="398" t="s">
        <v>601</v>
      </c>
      <c r="F650" s="404">
        <v>574.22</v>
      </c>
      <c r="G650" s="397" t="s">
        <v>1846</v>
      </c>
      <c r="H650" s="389" t="s">
        <v>278</v>
      </c>
      <c r="I650" s="398" t="s">
        <v>635</v>
      </c>
      <c r="J650" s="399" t="s">
        <v>636</v>
      </c>
      <c r="K650" s="390" t="str">
        <f t="shared" si="28"/>
        <v>XXX153830001XX</v>
      </c>
      <c r="L650" s="391" t="s">
        <v>1996</v>
      </c>
      <c r="M650" s="398" t="s">
        <v>712</v>
      </c>
      <c r="N650" s="399">
        <v>147</v>
      </c>
      <c r="O650" s="399" t="s">
        <v>1198</v>
      </c>
      <c r="P650" s="398" t="s">
        <v>1554</v>
      </c>
    </row>
    <row r="651" spans="1:16" s="401" customFormat="1" ht="72">
      <c r="A651" s="452">
        <f t="shared" si="29"/>
        <v>648</v>
      </c>
      <c r="B651" s="387">
        <v>46090</v>
      </c>
      <c r="C651" s="388">
        <v>46055</v>
      </c>
      <c r="D651" s="389" t="s">
        <v>248</v>
      </c>
      <c r="E651" s="395" t="s">
        <v>78</v>
      </c>
      <c r="F651" s="404">
        <v>18.55</v>
      </c>
      <c r="G651" s="397" t="s">
        <v>1847</v>
      </c>
      <c r="H651" s="389" t="s">
        <v>278</v>
      </c>
      <c r="I651" s="398" t="s">
        <v>635</v>
      </c>
      <c r="J651" s="399" t="s">
        <v>636</v>
      </c>
      <c r="K651" s="390" t="str">
        <f t="shared" si="28"/>
        <v>XXX153830001XX</v>
      </c>
      <c r="L651" s="391" t="s">
        <v>1996</v>
      </c>
      <c r="M651" s="398" t="s">
        <v>712</v>
      </c>
      <c r="N651" s="399">
        <v>133</v>
      </c>
      <c r="O651" s="399" t="s">
        <v>1196</v>
      </c>
      <c r="P651" s="398" t="s">
        <v>1553</v>
      </c>
    </row>
    <row r="652" spans="1:16" s="401" customFormat="1" ht="72">
      <c r="A652" s="452">
        <f t="shared" si="29"/>
        <v>649</v>
      </c>
      <c r="B652" s="387">
        <v>46090</v>
      </c>
      <c r="C652" s="388">
        <v>46055</v>
      </c>
      <c r="D652" s="389" t="s">
        <v>248</v>
      </c>
      <c r="E652" s="395" t="s">
        <v>78</v>
      </c>
      <c r="F652" s="404">
        <v>18.55</v>
      </c>
      <c r="G652" s="397" t="s">
        <v>1848</v>
      </c>
      <c r="H652" s="389" t="s">
        <v>278</v>
      </c>
      <c r="I652" s="398" t="s">
        <v>635</v>
      </c>
      <c r="J652" s="399" t="s">
        <v>636</v>
      </c>
      <c r="K652" s="390" t="str">
        <f t="shared" si="28"/>
        <v>XXX153830001XX</v>
      </c>
      <c r="L652" s="391" t="s">
        <v>1996</v>
      </c>
      <c r="M652" s="398" t="s">
        <v>712</v>
      </c>
      <c r="N652" s="399">
        <v>134</v>
      </c>
      <c r="O652" s="399" t="s">
        <v>1196</v>
      </c>
      <c r="P652" s="398" t="s">
        <v>1553</v>
      </c>
    </row>
    <row r="653" spans="1:16" s="401" customFormat="1" ht="60">
      <c r="A653" s="452">
        <f t="shared" si="29"/>
        <v>650</v>
      </c>
      <c r="B653" s="387">
        <v>46090</v>
      </c>
      <c r="C653" s="388">
        <v>46055</v>
      </c>
      <c r="D653" s="389" t="s">
        <v>248</v>
      </c>
      <c r="E653" s="398" t="s">
        <v>596</v>
      </c>
      <c r="F653" s="404">
        <v>70</v>
      </c>
      <c r="G653" s="397" t="s">
        <v>1849</v>
      </c>
      <c r="H653" s="389" t="s">
        <v>737</v>
      </c>
      <c r="I653" s="398" t="s">
        <v>635</v>
      </c>
      <c r="J653" s="399" t="s">
        <v>636</v>
      </c>
      <c r="K653" s="390" t="str">
        <f t="shared" si="28"/>
        <v>XXX153830001XX</v>
      </c>
      <c r="L653" s="391" t="s">
        <v>1996</v>
      </c>
      <c r="M653" s="398" t="s">
        <v>712</v>
      </c>
      <c r="N653" s="399">
        <v>288</v>
      </c>
      <c r="O653" s="399" t="s">
        <v>1195</v>
      </c>
      <c r="P653" s="398" t="s">
        <v>1553</v>
      </c>
    </row>
    <row r="654" spans="1:16" s="401" customFormat="1" ht="84">
      <c r="A654" s="452">
        <f t="shared" si="29"/>
        <v>651</v>
      </c>
      <c r="B654" s="387">
        <v>46090</v>
      </c>
      <c r="C654" s="388">
        <v>46055</v>
      </c>
      <c r="D654" s="389" t="s">
        <v>248</v>
      </c>
      <c r="E654" s="398" t="s">
        <v>596</v>
      </c>
      <c r="F654" s="404">
        <v>399.87</v>
      </c>
      <c r="G654" s="397" t="s">
        <v>1850</v>
      </c>
      <c r="H654" s="389" t="s">
        <v>737</v>
      </c>
      <c r="I654" s="398" t="s">
        <v>635</v>
      </c>
      <c r="J654" s="399" t="s">
        <v>636</v>
      </c>
      <c r="K654" s="390" t="str">
        <f t="shared" si="28"/>
        <v>XXX153830001XX</v>
      </c>
      <c r="L654" s="391" t="s">
        <v>1996</v>
      </c>
      <c r="M654" s="398" t="s">
        <v>712</v>
      </c>
      <c r="N654" s="399">
        <v>12</v>
      </c>
      <c r="O654" s="399" t="s">
        <v>1199</v>
      </c>
      <c r="P654" s="398" t="s">
        <v>1554</v>
      </c>
    </row>
    <row r="655" spans="1:16" s="401" customFormat="1" ht="36">
      <c r="A655" s="452">
        <f t="shared" si="29"/>
        <v>652</v>
      </c>
      <c r="B655" s="387">
        <v>46090</v>
      </c>
      <c r="C655" s="388">
        <v>46055</v>
      </c>
      <c r="D655" s="389" t="s">
        <v>248</v>
      </c>
      <c r="E655" s="398" t="s">
        <v>1211</v>
      </c>
      <c r="F655" s="404">
        <v>425</v>
      </c>
      <c r="G655" s="397" t="s">
        <v>1851</v>
      </c>
      <c r="H655" s="389" t="s">
        <v>278</v>
      </c>
      <c r="I655" s="398" t="s">
        <v>635</v>
      </c>
      <c r="J655" s="399" t="s">
        <v>636</v>
      </c>
      <c r="K655" s="390" t="str">
        <f t="shared" si="28"/>
        <v>XXX153830001XX</v>
      </c>
      <c r="L655" s="391" t="s">
        <v>1996</v>
      </c>
      <c r="M655" s="398" t="s">
        <v>712</v>
      </c>
      <c r="N655" s="399">
        <v>13</v>
      </c>
      <c r="O655" s="399" t="s">
        <v>1199</v>
      </c>
      <c r="P655" s="398" t="s">
        <v>1554</v>
      </c>
    </row>
    <row r="656" spans="1:16" s="401" customFormat="1" ht="72">
      <c r="A656" s="452">
        <f t="shared" si="29"/>
        <v>653</v>
      </c>
      <c r="B656" s="387">
        <v>46090</v>
      </c>
      <c r="C656" s="388">
        <v>46055</v>
      </c>
      <c r="D656" s="389" t="s">
        <v>248</v>
      </c>
      <c r="E656" s="398" t="s">
        <v>592</v>
      </c>
      <c r="F656" s="404">
        <v>361.3</v>
      </c>
      <c r="G656" s="397" t="s">
        <v>1852</v>
      </c>
      <c r="H656" s="389" t="s">
        <v>737</v>
      </c>
      <c r="I656" s="398" t="s">
        <v>635</v>
      </c>
      <c r="J656" s="399" t="s">
        <v>636</v>
      </c>
      <c r="K656" s="390" t="str">
        <f t="shared" si="28"/>
        <v>XXX153830001XX</v>
      </c>
      <c r="L656" s="391" t="s">
        <v>1996</v>
      </c>
      <c r="M656" s="398" t="s">
        <v>712</v>
      </c>
      <c r="N656" s="399">
        <v>164</v>
      </c>
      <c r="O656" s="399" t="s">
        <v>1199</v>
      </c>
      <c r="P656" s="398" t="s">
        <v>1554</v>
      </c>
    </row>
    <row r="657" spans="1:16" s="401" customFormat="1" ht="60">
      <c r="A657" s="452">
        <f t="shared" si="29"/>
        <v>654</v>
      </c>
      <c r="B657" s="387">
        <v>46090</v>
      </c>
      <c r="C657" s="388">
        <v>46055</v>
      </c>
      <c r="D657" s="389" t="s">
        <v>248</v>
      </c>
      <c r="E657" s="398" t="s">
        <v>595</v>
      </c>
      <c r="F657" s="404">
        <v>758.83</v>
      </c>
      <c r="G657" s="397" t="s">
        <v>1853</v>
      </c>
      <c r="H657" s="389" t="s">
        <v>278</v>
      </c>
      <c r="I657" s="398" t="s">
        <v>635</v>
      </c>
      <c r="J657" s="399" t="s">
        <v>636</v>
      </c>
      <c r="K657" s="390" t="str">
        <f t="shared" si="28"/>
        <v>XXX153830001XX</v>
      </c>
      <c r="L657" s="391" t="s">
        <v>1996</v>
      </c>
      <c r="M657" s="398" t="s">
        <v>712</v>
      </c>
      <c r="N657" s="399">
        <v>9</v>
      </c>
      <c r="O657" s="399" t="s">
        <v>1195</v>
      </c>
      <c r="P657" s="398" t="s">
        <v>1553</v>
      </c>
    </row>
    <row r="658" spans="1:16" s="401" customFormat="1" ht="36">
      <c r="A658" s="452">
        <f t="shared" si="29"/>
        <v>655</v>
      </c>
      <c r="B658" s="387">
        <v>46090</v>
      </c>
      <c r="C658" s="388">
        <v>46055</v>
      </c>
      <c r="D658" s="389" t="s">
        <v>248</v>
      </c>
      <c r="E658" s="398" t="s">
        <v>605</v>
      </c>
      <c r="F658" s="404">
        <v>3.22</v>
      </c>
      <c r="G658" s="397" t="s">
        <v>1854</v>
      </c>
      <c r="H658" s="389" t="s">
        <v>278</v>
      </c>
      <c r="I658" s="398" t="s">
        <v>635</v>
      </c>
      <c r="J658" s="399" t="s">
        <v>636</v>
      </c>
      <c r="K658" s="390" t="str">
        <f t="shared" si="28"/>
        <v>XXX153830001XX</v>
      </c>
      <c r="L658" s="391" t="s">
        <v>1996</v>
      </c>
      <c r="M658" s="398" t="s">
        <v>712</v>
      </c>
      <c r="N658" s="399">
        <v>1799</v>
      </c>
      <c r="O658" s="399" t="s">
        <v>1189</v>
      </c>
      <c r="P658" s="398" t="s">
        <v>1553</v>
      </c>
    </row>
    <row r="659" spans="1:16" s="401" customFormat="1" ht="36">
      <c r="A659" s="452">
        <f t="shared" si="29"/>
        <v>656</v>
      </c>
      <c r="B659" s="387">
        <v>46090</v>
      </c>
      <c r="C659" s="388">
        <v>46055</v>
      </c>
      <c r="D659" s="389" t="s">
        <v>248</v>
      </c>
      <c r="E659" s="395" t="s">
        <v>78</v>
      </c>
      <c r="F659" s="404">
        <v>67.8</v>
      </c>
      <c r="G659" s="397" t="s">
        <v>1855</v>
      </c>
      <c r="H659" s="389" t="s">
        <v>736</v>
      </c>
      <c r="I659" s="398" t="s">
        <v>635</v>
      </c>
      <c r="J659" s="399" t="s">
        <v>636</v>
      </c>
      <c r="K659" s="390" t="str">
        <f t="shared" si="28"/>
        <v>XXX153830001XX</v>
      </c>
      <c r="L659" s="391" t="s">
        <v>1996</v>
      </c>
      <c r="M659" s="398" t="s">
        <v>712</v>
      </c>
      <c r="N659" s="399">
        <v>143</v>
      </c>
      <c r="O659" s="399" t="s">
        <v>1178</v>
      </c>
      <c r="P659" s="398" t="s">
        <v>1553</v>
      </c>
    </row>
    <row r="660" spans="1:16" s="401" customFormat="1" ht="36">
      <c r="A660" s="452">
        <f t="shared" si="29"/>
        <v>657</v>
      </c>
      <c r="B660" s="387">
        <v>46090</v>
      </c>
      <c r="C660" s="388">
        <v>46055</v>
      </c>
      <c r="D660" s="389" t="s">
        <v>248</v>
      </c>
      <c r="E660" s="398" t="s">
        <v>1219</v>
      </c>
      <c r="F660" s="404">
        <v>35</v>
      </c>
      <c r="G660" s="397" t="s">
        <v>1856</v>
      </c>
      <c r="H660" s="389" t="s">
        <v>736</v>
      </c>
      <c r="I660" s="398" t="s">
        <v>635</v>
      </c>
      <c r="J660" s="399" t="s">
        <v>636</v>
      </c>
      <c r="K660" s="390" t="str">
        <f t="shared" si="28"/>
        <v>XXX153830001XX</v>
      </c>
      <c r="L660" s="391" t="s">
        <v>1996</v>
      </c>
      <c r="M660" s="398" t="s">
        <v>712</v>
      </c>
      <c r="N660" s="399">
        <v>23</v>
      </c>
      <c r="O660" s="399" t="s">
        <v>1200</v>
      </c>
      <c r="P660" s="398" t="s">
        <v>1554</v>
      </c>
    </row>
    <row r="661" spans="1:16" s="401" customFormat="1" ht="36">
      <c r="A661" s="452">
        <f t="shared" si="29"/>
        <v>658</v>
      </c>
      <c r="B661" s="387">
        <v>46090</v>
      </c>
      <c r="C661" s="388">
        <v>46055</v>
      </c>
      <c r="D661" s="389" t="s">
        <v>248</v>
      </c>
      <c r="E661" s="395" t="s">
        <v>477</v>
      </c>
      <c r="F661" s="404">
        <v>198.2</v>
      </c>
      <c r="G661" s="397" t="s">
        <v>1857</v>
      </c>
      <c r="H661" s="389" t="s">
        <v>738</v>
      </c>
      <c r="I661" s="398" t="s">
        <v>635</v>
      </c>
      <c r="J661" s="399" t="s">
        <v>636</v>
      </c>
      <c r="K661" s="390" t="str">
        <f t="shared" si="28"/>
        <v>XXX153830001XX</v>
      </c>
      <c r="L661" s="391" t="s">
        <v>1996</v>
      </c>
      <c r="M661" s="398" t="s">
        <v>712</v>
      </c>
      <c r="N661" s="399">
        <v>306</v>
      </c>
      <c r="O661" s="399" t="s">
        <v>1199</v>
      </c>
      <c r="P661" s="398" t="s">
        <v>1554</v>
      </c>
    </row>
    <row r="662" spans="1:16" s="401" customFormat="1" ht="84.75" customHeight="1">
      <c r="A662" s="452">
        <f t="shared" si="29"/>
        <v>659</v>
      </c>
      <c r="B662" s="387">
        <v>46090</v>
      </c>
      <c r="C662" s="388">
        <v>46055</v>
      </c>
      <c r="D662" s="389" t="s">
        <v>248</v>
      </c>
      <c r="E662" s="398" t="s">
        <v>758</v>
      </c>
      <c r="F662" s="404">
        <v>4834.45</v>
      </c>
      <c r="G662" s="397" t="s">
        <v>1858</v>
      </c>
      <c r="H662" s="389" t="s">
        <v>738</v>
      </c>
      <c r="I662" s="398" t="s">
        <v>635</v>
      </c>
      <c r="J662" s="399" t="s">
        <v>636</v>
      </c>
      <c r="K662" s="390" t="str">
        <f t="shared" si="28"/>
        <v>XXX153830001XX</v>
      </c>
      <c r="L662" s="391" t="s">
        <v>1996</v>
      </c>
      <c r="M662" s="398" t="s">
        <v>712</v>
      </c>
      <c r="N662" s="399">
        <v>162</v>
      </c>
      <c r="O662" s="399" t="s">
        <v>1195</v>
      </c>
      <c r="P662" s="398" t="s">
        <v>1553</v>
      </c>
    </row>
    <row r="663" spans="1:16" s="401" customFormat="1" ht="81.75" customHeight="1">
      <c r="A663" s="452">
        <f t="shared" si="29"/>
        <v>660</v>
      </c>
      <c r="B663" s="387">
        <v>46090</v>
      </c>
      <c r="C663" s="388">
        <v>46055</v>
      </c>
      <c r="D663" s="389" t="s">
        <v>248</v>
      </c>
      <c r="E663" s="398" t="s">
        <v>595</v>
      </c>
      <c r="F663" s="404">
        <v>114.9</v>
      </c>
      <c r="G663" s="397" t="s">
        <v>1859</v>
      </c>
      <c r="H663" s="389" t="s">
        <v>278</v>
      </c>
      <c r="I663" s="398" t="s">
        <v>635</v>
      </c>
      <c r="J663" s="399" t="s">
        <v>636</v>
      </c>
      <c r="K663" s="390" t="str">
        <f t="shared" si="28"/>
        <v>XXX153830001XX</v>
      </c>
      <c r="L663" s="391" t="s">
        <v>1996</v>
      </c>
      <c r="M663" s="398" t="s">
        <v>712</v>
      </c>
      <c r="N663" s="399">
        <v>494</v>
      </c>
      <c r="O663" s="399" t="s">
        <v>1178</v>
      </c>
      <c r="P663" s="398" t="s">
        <v>1554</v>
      </c>
    </row>
    <row r="664" spans="1:16" s="401" customFormat="1" ht="36">
      <c r="A664" s="452">
        <f t="shared" si="29"/>
        <v>661</v>
      </c>
      <c r="B664" s="387">
        <v>46090</v>
      </c>
      <c r="C664" s="388">
        <v>46055</v>
      </c>
      <c r="D664" s="389" t="s">
        <v>248</v>
      </c>
      <c r="E664" s="398" t="s">
        <v>604</v>
      </c>
      <c r="F664" s="404">
        <v>239.17</v>
      </c>
      <c r="G664" s="397" t="s">
        <v>1860</v>
      </c>
      <c r="H664" s="389" t="s">
        <v>1029</v>
      </c>
      <c r="I664" s="398" t="s">
        <v>635</v>
      </c>
      <c r="J664" s="399" t="s">
        <v>636</v>
      </c>
      <c r="K664" s="390" t="str">
        <f t="shared" si="28"/>
        <v>XXX153830001XX</v>
      </c>
      <c r="L664" s="391" t="s">
        <v>1996</v>
      </c>
      <c r="M664" s="398" t="s">
        <v>712</v>
      </c>
      <c r="N664" s="399">
        <v>2254211</v>
      </c>
      <c r="O664" s="399" t="s">
        <v>1188</v>
      </c>
      <c r="P664" s="398" t="s">
        <v>1554</v>
      </c>
    </row>
    <row r="665" spans="1:16" s="401" customFormat="1" ht="36">
      <c r="A665" s="452">
        <f t="shared" si="29"/>
        <v>662</v>
      </c>
      <c r="B665" s="387">
        <v>46090</v>
      </c>
      <c r="C665" s="388">
        <v>46055</v>
      </c>
      <c r="D665" s="389" t="s">
        <v>248</v>
      </c>
      <c r="E665" s="398" t="s">
        <v>1215</v>
      </c>
      <c r="F665" s="404">
        <v>902</v>
      </c>
      <c r="G665" s="397" t="s">
        <v>1319</v>
      </c>
      <c r="H665" s="389" t="s">
        <v>278</v>
      </c>
      <c r="I665" s="398" t="s">
        <v>1446</v>
      </c>
      <c r="J665" s="399" t="s">
        <v>1447</v>
      </c>
      <c r="K665" s="390" t="str">
        <f t="shared" si="28"/>
        <v>XXX65233674 XX</v>
      </c>
      <c r="L665" s="391" t="s">
        <v>1996</v>
      </c>
      <c r="M665" s="398" t="s">
        <v>708</v>
      </c>
      <c r="N665" s="399">
        <v>74301</v>
      </c>
      <c r="O665" s="399" t="s">
        <v>1197</v>
      </c>
      <c r="P665" s="398" t="s">
        <v>1553</v>
      </c>
    </row>
    <row r="666" spans="1:16" s="401" customFormat="1" ht="48">
      <c r="A666" s="452">
        <f t="shared" si="29"/>
        <v>663</v>
      </c>
      <c r="B666" s="387">
        <v>46090</v>
      </c>
      <c r="C666" s="388">
        <v>46055</v>
      </c>
      <c r="D666" s="389" t="s">
        <v>248</v>
      </c>
      <c r="E666" s="395" t="s">
        <v>78</v>
      </c>
      <c r="F666" s="404">
        <v>132</v>
      </c>
      <c r="G666" s="397" t="s">
        <v>1861</v>
      </c>
      <c r="H666" s="389" t="s">
        <v>278</v>
      </c>
      <c r="I666" s="398" t="s">
        <v>635</v>
      </c>
      <c r="J666" s="399" t="s">
        <v>636</v>
      </c>
      <c r="K666" s="390" t="str">
        <f t="shared" si="28"/>
        <v>XXX153830001XX</v>
      </c>
      <c r="L666" s="391" t="s">
        <v>1996</v>
      </c>
      <c r="M666" s="398" t="s">
        <v>712</v>
      </c>
      <c r="N666" s="399">
        <v>17</v>
      </c>
      <c r="O666" s="399" t="s">
        <v>1519</v>
      </c>
      <c r="P666" s="398" t="s">
        <v>1553</v>
      </c>
    </row>
    <row r="667" spans="1:16" s="401" customFormat="1" ht="36">
      <c r="A667" s="452">
        <f t="shared" si="29"/>
        <v>664</v>
      </c>
      <c r="B667" s="387">
        <v>46090</v>
      </c>
      <c r="C667" s="388">
        <v>46055</v>
      </c>
      <c r="D667" s="389" t="s">
        <v>166</v>
      </c>
      <c r="E667" s="398" t="s">
        <v>584</v>
      </c>
      <c r="F667" s="404">
        <v>1.18</v>
      </c>
      <c r="G667" s="397" t="s">
        <v>1862</v>
      </c>
      <c r="H667" s="389" t="s">
        <v>166</v>
      </c>
      <c r="I667" s="398" t="s">
        <v>635</v>
      </c>
      <c r="J667" s="399" t="s">
        <v>636</v>
      </c>
      <c r="K667" s="390" t="str">
        <f t="shared" si="28"/>
        <v>XXX153830001XX</v>
      </c>
      <c r="L667" s="391" t="s">
        <v>1996</v>
      </c>
      <c r="M667" s="398" t="s">
        <v>712</v>
      </c>
      <c r="N667" s="399">
        <v>68487</v>
      </c>
      <c r="O667" s="399" t="s">
        <v>1201</v>
      </c>
      <c r="P667" s="398" t="s">
        <v>1555</v>
      </c>
    </row>
    <row r="668" spans="1:16" s="401" customFormat="1" ht="36">
      <c r="A668" s="452">
        <f t="shared" si="29"/>
        <v>665</v>
      </c>
      <c r="B668" s="387">
        <v>46090</v>
      </c>
      <c r="C668" s="388">
        <v>46055</v>
      </c>
      <c r="D668" s="389" t="s">
        <v>166</v>
      </c>
      <c r="E668" s="398" t="s">
        <v>584</v>
      </c>
      <c r="F668" s="404">
        <v>2.52</v>
      </c>
      <c r="G668" s="397" t="s">
        <v>1863</v>
      </c>
      <c r="H668" s="389" t="s">
        <v>166</v>
      </c>
      <c r="I668" s="398" t="s">
        <v>635</v>
      </c>
      <c r="J668" s="399" t="s">
        <v>636</v>
      </c>
      <c r="K668" s="390" t="str">
        <f t="shared" si="28"/>
        <v>XXX153830001XX</v>
      </c>
      <c r="L668" s="391" t="s">
        <v>1996</v>
      </c>
      <c r="M668" s="398" t="s">
        <v>712</v>
      </c>
      <c r="N668" s="399">
        <v>77228</v>
      </c>
      <c r="O668" s="399" t="s">
        <v>1202</v>
      </c>
      <c r="P668" s="398" t="s">
        <v>1555</v>
      </c>
    </row>
    <row r="669" spans="1:16" s="401" customFormat="1" ht="36">
      <c r="A669" s="452">
        <f t="shared" si="29"/>
        <v>666</v>
      </c>
      <c r="B669" s="387">
        <v>46090</v>
      </c>
      <c r="C669" s="388">
        <v>46055</v>
      </c>
      <c r="D669" s="389" t="s">
        <v>166</v>
      </c>
      <c r="E669" s="398" t="s">
        <v>603</v>
      </c>
      <c r="F669" s="404">
        <v>1030.6400000000001</v>
      </c>
      <c r="G669" s="397" t="s">
        <v>1864</v>
      </c>
      <c r="H669" s="389" t="s">
        <v>166</v>
      </c>
      <c r="I669" s="398" t="s">
        <v>635</v>
      </c>
      <c r="J669" s="399" t="s">
        <v>636</v>
      </c>
      <c r="K669" s="390" t="str">
        <f t="shared" si="28"/>
        <v>XXX153830001XX</v>
      </c>
      <c r="L669" s="391" t="s">
        <v>1996</v>
      </c>
      <c r="M669" s="398" t="s">
        <v>712</v>
      </c>
      <c r="N669" s="399">
        <v>2026164511</v>
      </c>
      <c r="O669" s="399" t="s">
        <v>1191</v>
      </c>
      <c r="P669" s="398" t="s">
        <v>1555</v>
      </c>
    </row>
    <row r="670" spans="1:16" s="401" customFormat="1" ht="96">
      <c r="A670" s="452">
        <f t="shared" si="29"/>
        <v>667</v>
      </c>
      <c r="B670" s="387">
        <v>46090</v>
      </c>
      <c r="C670" s="388">
        <v>46055</v>
      </c>
      <c r="D670" s="389" t="s">
        <v>248</v>
      </c>
      <c r="E670" s="398" t="s">
        <v>1550</v>
      </c>
      <c r="F670" s="404">
        <v>149.1</v>
      </c>
      <c r="G670" s="397" t="s">
        <v>1865</v>
      </c>
      <c r="H670" s="389" t="s">
        <v>736</v>
      </c>
      <c r="I670" s="398" t="s">
        <v>635</v>
      </c>
      <c r="J670" s="399" t="s">
        <v>636</v>
      </c>
      <c r="K670" s="390" t="str">
        <f t="shared" ref="K670:K727" si="30">IF(J670="","",IF(LEN(J670)&gt;14,IF(ISBLANK(J670),"",J670),REPLACE(REPLACE(J670,1,3,"XXX"),13,2,"XX")))</f>
        <v>XXX153830001XX</v>
      </c>
      <c r="L670" s="391" t="s">
        <v>1996</v>
      </c>
      <c r="M670" s="398" t="s">
        <v>712</v>
      </c>
      <c r="N670" s="399">
        <v>1107</v>
      </c>
      <c r="O670" s="399" t="s">
        <v>1519</v>
      </c>
      <c r="P670" s="398" t="s">
        <v>1554</v>
      </c>
    </row>
    <row r="671" spans="1:16" s="401" customFormat="1" ht="36">
      <c r="A671" s="452">
        <f t="shared" si="29"/>
        <v>668</v>
      </c>
      <c r="B671" s="387">
        <v>46090</v>
      </c>
      <c r="C671" s="388">
        <v>46055</v>
      </c>
      <c r="D671" s="389" t="s">
        <v>248</v>
      </c>
      <c r="E671" s="395" t="s">
        <v>455</v>
      </c>
      <c r="F671" s="404">
        <v>2586.9299999999998</v>
      </c>
      <c r="G671" s="397" t="s">
        <v>1866</v>
      </c>
      <c r="H671" s="389" t="s">
        <v>738</v>
      </c>
      <c r="I671" s="398" t="s">
        <v>635</v>
      </c>
      <c r="J671" s="399" t="s">
        <v>636</v>
      </c>
      <c r="K671" s="390" t="str">
        <f t="shared" si="30"/>
        <v>XXX153830001XX</v>
      </c>
      <c r="L671" s="391" t="s">
        <v>1996</v>
      </c>
      <c r="M671" s="398" t="s">
        <v>712</v>
      </c>
      <c r="N671" s="399">
        <v>124</v>
      </c>
      <c r="O671" s="399" t="s">
        <v>1191</v>
      </c>
      <c r="P671" s="398" t="s">
        <v>1554</v>
      </c>
    </row>
    <row r="672" spans="1:16" s="401" customFormat="1" ht="60">
      <c r="A672" s="452">
        <f t="shared" si="29"/>
        <v>669</v>
      </c>
      <c r="B672" s="387">
        <v>46090</v>
      </c>
      <c r="C672" s="388">
        <v>46055</v>
      </c>
      <c r="D672" s="389" t="s">
        <v>248</v>
      </c>
      <c r="E672" s="398" t="s">
        <v>605</v>
      </c>
      <c r="F672" s="404">
        <v>5.25</v>
      </c>
      <c r="G672" s="397" t="s">
        <v>1867</v>
      </c>
      <c r="H672" s="389" t="s">
        <v>166</v>
      </c>
      <c r="I672" s="398" t="s">
        <v>635</v>
      </c>
      <c r="J672" s="399" t="s">
        <v>636</v>
      </c>
      <c r="K672" s="390" t="str">
        <f t="shared" si="30"/>
        <v>XXX153830001XX</v>
      </c>
      <c r="L672" s="391" t="s">
        <v>1996</v>
      </c>
      <c r="M672" s="398" t="s">
        <v>712</v>
      </c>
      <c r="N672" s="399">
        <v>84354</v>
      </c>
      <c r="O672" s="399" t="s">
        <v>1202</v>
      </c>
      <c r="P672" s="398" t="s">
        <v>1553</v>
      </c>
    </row>
    <row r="673" spans="1:16" s="401" customFormat="1" ht="36">
      <c r="A673" s="452">
        <f t="shared" si="29"/>
        <v>670</v>
      </c>
      <c r="B673" s="387">
        <v>46090</v>
      </c>
      <c r="C673" s="388">
        <v>46055</v>
      </c>
      <c r="D673" s="389" t="s">
        <v>166</v>
      </c>
      <c r="E673" s="398" t="s">
        <v>581</v>
      </c>
      <c r="F673" s="404">
        <v>15.61</v>
      </c>
      <c r="G673" s="397" t="s">
        <v>1868</v>
      </c>
      <c r="H673" s="389" t="s">
        <v>166</v>
      </c>
      <c r="I673" s="398" t="s">
        <v>635</v>
      </c>
      <c r="J673" s="399" t="s">
        <v>636</v>
      </c>
      <c r="K673" s="390" t="str">
        <f t="shared" si="30"/>
        <v>XXX153830001XX</v>
      </c>
      <c r="L673" s="391" t="s">
        <v>1996</v>
      </c>
      <c r="M673" s="398" t="s">
        <v>712</v>
      </c>
      <c r="N673" s="399">
        <v>3649</v>
      </c>
      <c r="O673" s="399" t="s">
        <v>1200</v>
      </c>
      <c r="P673" s="398" t="s">
        <v>1553</v>
      </c>
    </row>
    <row r="674" spans="1:16" s="401" customFormat="1" ht="36">
      <c r="A674" s="452">
        <f t="shared" si="29"/>
        <v>671</v>
      </c>
      <c r="B674" s="387">
        <v>46090</v>
      </c>
      <c r="C674" s="388">
        <v>46055</v>
      </c>
      <c r="D674" s="389" t="s">
        <v>166</v>
      </c>
      <c r="E674" s="398" t="s">
        <v>581</v>
      </c>
      <c r="F674" s="404">
        <v>21.88</v>
      </c>
      <c r="G674" s="397" t="s">
        <v>1869</v>
      </c>
      <c r="H674" s="389" t="s">
        <v>166</v>
      </c>
      <c r="I674" s="398" t="s">
        <v>635</v>
      </c>
      <c r="J674" s="399" t="s">
        <v>636</v>
      </c>
      <c r="K674" s="390" t="str">
        <f t="shared" si="30"/>
        <v>XXX153830001XX</v>
      </c>
      <c r="L674" s="391" t="s">
        <v>1996</v>
      </c>
      <c r="M674" s="398" t="s">
        <v>712</v>
      </c>
      <c r="N674" s="399">
        <v>7536</v>
      </c>
      <c r="O674" s="399" t="s">
        <v>1519</v>
      </c>
      <c r="P674" s="398" t="s">
        <v>1553</v>
      </c>
    </row>
    <row r="675" spans="1:16" s="401" customFormat="1" ht="48">
      <c r="A675" s="452">
        <f t="shared" si="29"/>
        <v>672</v>
      </c>
      <c r="B675" s="387">
        <v>46090</v>
      </c>
      <c r="C675" s="388">
        <v>46055</v>
      </c>
      <c r="D675" s="389" t="s">
        <v>248</v>
      </c>
      <c r="E675" s="395" t="s">
        <v>78</v>
      </c>
      <c r="F675" s="404">
        <v>53.35</v>
      </c>
      <c r="G675" s="397" t="s">
        <v>1870</v>
      </c>
      <c r="H675" s="389" t="s">
        <v>278</v>
      </c>
      <c r="I675" s="398" t="s">
        <v>635</v>
      </c>
      <c r="J675" s="399" t="s">
        <v>636</v>
      </c>
      <c r="K675" s="390" t="str">
        <f t="shared" si="30"/>
        <v>XXX153830001XX</v>
      </c>
      <c r="L675" s="391" t="s">
        <v>1996</v>
      </c>
      <c r="M675" s="398" t="s">
        <v>712</v>
      </c>
      <c r="N675" s="399">
        <v>125</v>
      </c>
      <c r="O675" s="399" t="s">
        <v>1191</v>
      </c>
      <c r="P675" s="398" t="s">
        <v>1553</v>
      </c>
    </row>
    <row r="676" spans="1:16" s="401" customFormat="1" ht="36">
      <c r="A676" s="452">
        <f t="shared" si="29"/>
        <v>673</v>
      </c>
      <c r="B676" s="387">
        <v>46090</v>
      </c>
      <c r="C676" s="388">
        <v>46055</v>
      </c>
      <c r="D676" s="389" t="s">
        <v>166</v>
      </c>
      <c r="E676" s="398" t="s">
        <v>603</v>
      </c>
      <c r="F676" s="404">
        <v>82.29</v>
      </c>
      <c r="G676" s="397" t="s">
        <v>1864</v>
      </c>
      <c r="H676" s="389" t="s">
        <v>166</v>
      </c>
      <c r="I676" s="398" t="s">
        <v>635</v>
      </c>
      <c r="J676" s="399" t="s">
        <v>636</v>
      </c>
      <c r="K676" s="390" t="str">
        <f t="shared" si="30"/>
        <v>XXX153830001XX</v>
      </c>
      <c r="L676" s="391" t="s">
        <v>1996</v>
      </c>
      <c r="M676" s="398" t="s">
        <v>712</v>
      </c>
      <c r="N676" s="399">
        <v>2026115050</v>
      </c>
      <c r="O676" s="399" t="s">
        <v>1181</v>
      </c>
      <c r="P676" s="398" t="s">
        <v>1555</v>
      </c>
    </row>
    <row r="677" spans="1:16" s="401" customFormat="1" ht="72">
      <c r="A677" s="452">
        <f t="shared" si="29"/>
        <v>674</v>
      </c>
      <c r="B677" s="387">
        <v>46090</v>
      </c>
      <c r="C677" s="388">
        <v>46083</v>
      </c>
      <c r="D677" s="389" t="s">
        <v>353</v>
      </c>
      <c r="E677" s="394" t="s">
        <v>153</v>
      </c>
      <c r="F677" s="404">
        <v>21800</v>
      </c>
      <c r="G677" s="397" t="s">
        <v>1614</v>
      </c>
      <c r="H677" s="389" t="s">
        <v>280</v>
      </c>
      <c r="I677" s="394" t="s">
        <v>744</v>
      </c>
      <c r="J677" s="455">
        <v>7837375000150</v>
      </c>
      <c r="K677" s="390" t="str">
        <f t="shared" si="30"/>
        <v>XXX737500015XX</v>
      </c>
      <c r="L677" s="391" t="s">
        <v>1996</v>
      </c>
      <c r="M677" s="398" t="s">
        <v>707</v>
      </c>
      <c r="N677" s="399">
        <v>7</v>
      </c>
      <c r="O677" s="399" t="s">
        <v>1526</v>
      </c>
      <c r="P677" s="398" t="s">
        <v>1553</v>
      </c>
    </row>
    <row r="678" spans="1:16" s="401" customFormat="1" ht="36">
      <c r="A678" s="452">
        <f t="shared" si="29"/>
        <v>675</v>
      </c>
      <c r="B678" s="387">
        <v>46090</v>
      </c>
      <c r="C678" s="388">
        <v>46055</v>
      </c>
      <c r="D678" s="389" t="s">
        <v>248</v>
      </c>
      <c r="E678" s="398" t="s">
        <v>605</v>
      </c>
      <c r="F678" s="404">
        <v>0.01</v>
      </c>
      <c r="G678" s="397" t="s">
        <v>1615</v>
      </c>
      <c r="H678" s="389" t="s">
        <v>278</v>
      </c>
      <c r="I678" s="398" t="s">
        <v>635</v>
      </c>
      <c r="J678" s="399" t="s">
        <v>636</v>
      </c>
      <c r="K678" s="390" t="str">
        <f t="shared" si="30"/>
        <v>XXX153830001XX</v>
      </c>
      <c r="L678" s="391" t="s">
        <v>1996</v>
      </c>
      <c r="M678" s="398" t="s">
        <v>712</v>
      </c>
      <c r="N678" s="399">
        <v>1753</v>
      </c>
      <c r="O678" s="399" t="s">
        <v>1188</v>
      </c>
      <c r="P678" s="398" t="s">
        <v>1553</v>
      </c>
    </row>
    <row r="679" spans="1:16" s="401" customFormat="1" ht="36">
      <c r="A679" s="452">
        <f t="shared" si="29"/>
        <v>676</v>
      </c>
      <c r="B679" s="387">
        <v>46090</v>
      </c>
      <c r="C679" s="388">
        <v>46055</v>
      </c>
      <c r="D679" s="389" t="s">
        <v>248</v>
      </c>
      <c r="E679" s="398" t="s">
        <v>605</v>
      </c>
      <c r="F679" s="404">
        <v>0.01</v>
      </c>
      <c r="G679" s="397" t="s">
        <v>1616</v>
      </c>
      <c r="H679" s="389" t="s">
        <v>278</v>
      </c>
      <c r="I679" s="398" t="s">
        <v>635</v>
      </c>
      <c r="J679" s="399" t="s">
        <v>636</v>
      </c>
      <c r="K679" s="390" t="str">
        <f t="shared" si="30"/>
        <v>XXX153830001XX</v>
      </c>
      <c r="L679" s="391" t="s">
        <v>1996</v>
      </c>
      <c r="M679" s="398" t="s">
        <v>712</v>
      </c>
      <c r="N679" s="399">
        <v>1799</v>
      </c>
      <c r="O679" s="399" t="s">
        <v>1189</v>
      </c>
      <c r="P679" s="398" t="s">
        <v>1553</v>
      </c>
    </row>
    <row r="680" spans="1:16" s="401" customFormat="1" ht="36">
      <c r="A680" s="452">
        <f t="shared" si="29"/>
        <v>677</v>
      </c>
      <c r="B680" s="387">
        <v>46090</v>
      </c>
      <c r="C680" s="388">
        <v>46055</v>
      </c>
      <c r="D680" s="389" t="s">
        <v>248</v>
      </c>
      <c r="E680" s="398" t="s">
        <v>605</v>
      </c>
      <c r="F680" s="404">
        <v>858.25</v>
      </c>
      <c r="G680" s="397" t="s">
        <v>1617</v>
      </c>
      <c r="H680" s="389" t="s">
        <v>278</v>
      </c>
      <c r="I680" s="398" t="s">
        <v>774</v>
      </c>
      <c r="J680" s="399" t="s">
        <v>775</v>
      </c>
      <c r="K680" s="390" t="str">
        <f t="shared" si="30"/>
        <v>XXX545540001XX</v>
      </c>
      <c r="L680" s="391" t="s">
        <v>1996</v>
      </c>
      <c r="M680" s="398" t="s">
        <v>714</v>
      </c>
      <c r="N680" s="399">
        <v>22026</v>
      </c>
      <c r="O680" s="399" t="s">
        <v>1180</v>
      </c>
      <c r="P680" s="398" t="s">
        <v>1553</v>
      </c>
    </row>
    <row r="681" spans="1:16" s="401" customFormat="1" ht="36">
      <c r="A681" s="452">
        <f t="shared" si="29"/>
        <v>678</v>
      </c>
      <c r="B681" s="387">
        <v>46090</v>
      </c>
      <c r="C681" s="388">
        <v>46055</v>
      </c>
      <c r="D681" s="389" t="s">
        <v>248</v>
      </c>
      <c r="E681" s="398" t="s">
        <v>604</v>
      </c>
      <c r="F681" s="404">
        <v>0.01</v>
      </c>
      <c r="G681" s="397" t="s">
        <v>1618</v>
      </c>
      <c r="H681" s="389" t="s">
        <v>1029</v>
      </c>
      <c r="I681" s="398" t="s">
        <v>635</v>
      </c>
      <c r="J681" s="399" t="s">
        <v>636</v>
      </c>
      <c r="K681" s="390" t="str">
        <f t="shared" si="30"/>
        <v>XXX153830001XX</v>
      </c>
      <c r="L681" s="391" t="s">
        <v>1996</v>
      </c>
      <c r="M681" s="398" t="s">
        <v>712</v>
      </c>
      <c r="N681" s="399">
        <v>2254211</v>
      </c>
      <c r="O681" s="399" t="s">
        <v>1188</v>
      </c>
      <c r="P681" s="398" t="s">
        <v>1554</v>
      </c>
    </row>
    <row r="682" spans="1:16" s="401" customFormat="1" ht="36">
      <c r="A682" s="452">
        <f t="shared" si="29"/>
        <v>679</v>
      </c>
      <c r="B682" s="387">
        <v>46090</v>
      </c>
      <c r="C682" s="388">
        <v>46055</v>
      </c>
      <c r="D682" s="389" t="s">
        <v>353</v>
      </c>
      <c r="E682" s="394" t="s">
        <v>153</v>
      </c>
      <c r="F682" s="404">
        <v>784.28</v>
      </c>
      <c r="G682" s="397" t="s">
        <v>1619</v>
      </c>
      <c r="H682" s="389" t="s">
        <v>280</v>
      </c>
      <c r="I682" s="394" t="s">
        <v>744</v>
      </c>
      <c r="J682" s="455">
        <v>7837375000150</v>
      </c>
      <c r="K682" s="390" t="str">
        <f t="shared" si="30"/>
        <v>XXX737500015XX</v>
      </c>
      <c r="L682" s="391" t="s">
        <v>1996</v>
      </c>
      <c r="M682" s="398" t="s">
        <v>708</v>
      </c>
      <c r="N682" s="399">
        <v>74565</v>
      </c>
      <c r="O682" s="399" t="s">
        <v>1523</v>
      </c>
      <c r="P682" s="398" t="s">
        <v>1553</v>
      </c>
    </row>
    <row r="683" spans="1:16" s="401" customFormat="1" ht="60">
      <c r="A683" s="452">
        <f t="shared" si="29"/>
        <v>680</v>
      </c>
      <c r="B683" s="387">
        <v>46090</v>
      </c>
      <c r="C683" s="388">
        <v>46083</v>
      </c>
      <c r="D683" s="389" t="s">
        <v>248</v>
      </c>
      <c r="E683" s="398" t="s">
        <v>582</v>
      </c>
      <c r="F683" s="404">
        <v>300</v>
      </c>
      <c r="G683" s="397" t="s">
        <v>1620</v>
      </c>
      <c r="H683" s="389" t="s">
        <v>1029</v>
      </c>
      <c r="I683" s="398" t="s">
        <v>1450</v>
      </c>
      <c r="J683" s="399" t="s">
        <v>1451</v>
      </c>
      <c r="K683" s="390" t="str">
        <f t="shared" si="30"/>
        <v>XXX217840001XX</v>
      </c>
      <c r="L683" s="391" t="s">
        <v>1996</v>
      </c>
      <c r="M683" s="398" t="s">
        <v>706</v>
      </c>
      <c r="N683" s="399">
        <v>2057887396</v>
      </c>
      <c r="O683" s="399" t="s">
        <v>1524</v>
      </c>
      <c r="P683" s="398" t="s">
        <v>1553</v>
      </c>
    </row>
    <row r="684" spans="1:16" s="401" customFormat="1" ht="36">
      <c r="A684" s="452">
        <f t="shared" si="29"/>
        <v>681</v>
      </c>
      <c r="B684" s="387">
        <v>46090</v>
      </c>
      <c r="C684" s="388">
        <v>46083</v>
      </c>
      <c r="D684" s="389" t="s">
        <v>166</v>
      </c>
      <c r="E684" s="398" t="s">
        <v>584</v>
      </c>
      <c r="F684" s="404">
        <v>151.41999999999999</v>
      </c>
      <c r="G684" s="397" t="s">
        <v>1621</v>
      </c>
      <c r="H684" s="389" t="s">
        <v>166</v>
      </c>
      <c r="I684" s="398" t="s">
        <v>618</v>
      </c>
      <c r="J684" s="399" t="s">
        <v>619</v>
      </c>
      <c r="K684" s="390" t="str">
        <f t="shared" si="30"/>
        <v>XXX985050001XX</v>
      </c>
      <c r="L684" s="391" t="s">
        <v>1996</v>
      </c>
      <c r="M684" s="398" t="s">
        <v>706</v>
      </c>
      <c r="N684" s="399">
        <v>2057887397</v>
      </c>
      <c r="O684" s="399" t="s">
        <v>1527</v>
      </c>
      <c r="P684" s="398" t="s">
        <v>1555</v>
      </c>
    </row>
    <row r="685" spans="1:16" s="401" customFormat="1" ht="36">
      <c r="A685" s="452">
        <f t="shared" si="29"/>
        <v>682</v>
      </c>
      <c r="B685" s="387">
        <v>46090</v>
      </c>
      <c r="C685" s="388">
        <v>46083</v>
      </c>
      <c r="D685" s="389" t="s">
        <v>248</v>
      </c>
      <c r="E685" s="398" t="s">
        <v>590</v>
      </c>
      <c r="F685" s="404">
        <v>4288.82</v>
      </c>
      <c r="G685" s="397" t="s">
        <v>1622</v>
      </c>
      <c r="H685" s="389" t="s">
        <v>736</v>
      </c>
      <c r="I685" s="398" t="s">
        <v>1100</v>
      </c>
      <c r="J685" s="399" t="s">
        <v>773</v>
      </c>
      <c r="K685" s="390" t="str">
        <f t="shared" si="30"/>
        <v>XXX000000000XX</v>
      </c>
      <c r="L685" s="391" t="s">
        <v>1996</v>
      </c>
      <c r="M685" s="398" t="s">
        <v>727</v>
      </c>
      <c r="N685" s="399">
        <v>570781866</v>
      </c>
      <c r="O685" s="399" t="s">
        <v>1527</v>
      </c>
      <c r="P685" s="398" t="s">
        <v>1553</v>
      </c>
    </row>
    <row r="686" spans="1:16" s="401" customFormat="1" ht="36">
      <c r="A686" s="452">
        <f t="shared" si="29"/>
        <v>683</v>
      </c>
      <c r="B686" s="387">
        <v>46090</v>
      </c>
      <c r="C686" s="388">
        <v>46083</v>
      </c>
      <c r="D686" s="389" t="s">
        <v>248</v>
      </c>
      <c r="E686" s="398" t="s">
        <v>590</v>
      </c>
      <c r="F686" s="404">
        <v>150.11000000000001</v>
      </c>
      <c r="G686" s="397" t="s">
        <v>1622</v>
      </c>
      <c r="H686" s="389" t="s">
        <v>736</v>
      </c>
      <c r="I686" s="398" t="s">
        <v>690</v>
      </c>
      <c r="J686" s="399" t="s">
        <v>691</v>
      </c>
      <c r="K686" s="390" t="str">
        <f t="shared" si="30"/>
        <v>XXX011900001XX</v>
      </c>
      <c r="L686" s="391" t="s">
        <v>1996</v>
      </c>
      <c r="M686" s="398" t="s">
        <v>1203</v>
      </c>
      <c r="N686" s="399">
        <v>570781866</v>
      </c>
      <c r="O686" s="399" t="s">
        <v>1527</v>
      </c>
      <c r="P686" s="398" t="s">
        <v>1553</v>
      </c>
    </row>
    <row r="687" spans="1:16" s="401" customFormat="1" ht="36">
      <c r="A687" s="452">
        <f t="shared" si="29"/>
        <v>684</v>
      </c>
      <c r="B687" s="387">
        <v>46090</v>
      </c>
      <c r="C687" s="388">
        <v>46083</v>
      </c>
      <c r="D687" s="389" t="s">
        <v>248</v>
      </c>
      <c r="E687" s="398" t="s">
        <v>590</v>
      </c>
      <c r="F687" s="404">
        <v>2585.04</v>
      </c>
      <c r="G687" s="397" t="s">
        <v>1623</v>
      </c>
      <c r="H687" s="389" t="s">
        <v>736</v>
      </c>
      <c r="I687" s="398" t="s">
        <v>1100</v>
      </c>
      <c r="J687" s="399" t="s">
        <v>773</v>
      </c>
      <c r="K687" s="390" t="str">
        <f t="shared" si="30"/>
        <v>XXX000000000XX</v>
      </c>
      <c r="L687" s="391" t="s">
        <v>1996</v>
      </c>
      <c r="M687" s="398" t="s">
        <v>727</v>
      </c>
      <c r="N687" s="399">
        <v>57078285</v>
      </c>
      <c r="O687" s="399" t="s">
        <v>1527</v>
      </c>
      <c r="P687" s="398" t="s">
        <v>1553</v>
      </c>
    </row>
    <row r="688" spans="1:16" s="401" customFormat="1" ht="36">
      <c r="A688" s="452">
        <f t="shared" si="29"/>
        <v>685</v>
      </c>
      <c r="B688" s="387">
        <v>46090</v>
      </c>
      <c r="C688" s="388">
        <v>46083</v>
      </c>
      <c r="D688" s="389" t="s">
        <v>248</v>
      </c>
      <c r="E688" s="398" t="s">
        <v>590</v>
      </c>
      <c r="F688" s="404">
        <v>90.48</v>
      </c>
      <c r="G688" s="397" t="s">
        <v>1623</v>
      </c>
      <c r="H688" s="389" t="s">
        <v>736</v>
      </c>
      <c r="I688" s="398" t="s">
        <v>690</v>
      </c>
      <c r="J688" s="399" t="s">
        <v>691</v>
      </c>
      <c r="K688" s="390" t="str">
        <f t="shared" si="30"/>
        <v>XXX011900001XX</v>
      </c>
      <c r="L688" s="391" t="s">
        <v>1996</v>
      </c>
      <c r="M688" s="398" t="s">
        <v>1203</v>
      </c>
      <c r="N688" s="399">
        <v>57078285</v>
      </c>
      <c r="O688" s="399" t="s">
        <v>1527</v>
      </c>
      <c r="P688" s="398" t="s">
        <v>1553</v>
      </c>
    </row>
    <row r="689" spans="1:16" s="401" customFormat="1" ht="36">
      <c r="A689" s="452">
        <f t="shared" si="29"/>
        <v>686</v>
      </c>
      <c r="B689" s="387">
        <v>46090</v>
      </c>
      <c r="C689" s="388">
        <v>46083</v>
      </c>
      <c r="D689" s="389" t="s">
        <v>248</v>
      </c>
      <c r="E689" s="398" t="s">
        <v>590</v>
      </c>
      <c r="F689" s="404">
        <v>5997.94</v>
      </c>
      <c r="G689" s="397" t="s">
        <v>1624</v>
      </c>
      <c r="H689" s="389" t="s">
        <v>736</v>
      </c>
      <c r="I689" s="398" t="s">
        <v>1100</v>
      </c>
      <c r="J689" s="399" t="s">
        <v>773</v>
      </c>
      <c r="K689" s="390" t="str">
        <f t="shared" si="30"/>
        <v>XXX000000000XX</v>
      </c>
      <c r="L689" s="391" t="s">
        <v>1996</v>
      </c>
      <c r="M689" s="398" t="s">
        <v>727</v>
      </c>
      <c r="N689" s="399">
        <v>570782567</v>
      </c>
      <c r="O689" s="399" t="s">
        <v>1527</v>
      </c>
      <c r="P689" s="398" t="s">
        <v>1553</v>
      </c>
    </row>
    <row r="690" spans="1:16" s="401" customFormat="1" ht="36">
      <c r="A690" s="452">
        <f t="shared" si="29"/>
        <v>687</v>
      </c>
      <c r="B690" s="387">
        <v>46090</v>
      </c>
      <c r="C690" s="388">
        <v>46083</v>
      </c>
      <c r="D690" s="389" t="s">
        <v>248</v>
      </c>
      <c r="E690" s="398" t="s">
        <v>590</v>
      </c>
      <c r="F690" s="404">
        <v>209.93</v>
      </c>
      <c r="G690" s="397" t="s">
        <v>1624</v>
      </c>
      <c r="H690" s="389" t="s">
        <v>736</v>
      </c>
      <c r="I690" s="398" t="s">
        <v>690</v>
      </c>
      <c r="J690" s="399" t="s">
        <v>691</v>
      </c>
      <c r="K690" s="390" t="str">
        <f t="shared" si="30"/>
        <v>XXX011900001XX</v>
      </c>
      <c r="L690" s="391" t="s">
        <v>1996</v>
      </c>
      <c r="M690" s="398" t="s">
        <v>1203</v>
      </c>
      <c r="N690" s="399">
        <v>570782567</v>
      </c>
      <c r="O690" s="399" t="s">
        <v>1527</v>
      </c>
      <c r="P690" s="398" t="s">
        <v>1553</v>
      </c>
    </row>
    <row r="691" spans="1:16" s="401" customFormat="1" ht="36">
      <c r="A691" s="452">
        <f t="shared" si="29"/>
        <v>688</v>
      </c>
      <c r="B691" s="387">
        <v>46090</v>
      </c>
      <c r="C691" s="388">
        <v>46055</v>
      </c>
      <c r="D691" s="389" t="s">
        <v>248</v>
      </c>
      <c r="E691" s="398" t="s">
        <v>742</v>
      </c>
      <c r="F691" s="404">
        <v>69.66</v>
      </c>
      <c r="G691" s="397" t="s">
        <v>1625</v>
      </c>
      <c r="H691" s="389" t="s">
        <v>278</v>
      </c>
      <c r="I691" s="398" t="s">
        <v>745</v>
      </c>
      <c r="J691" s="399" t="s">
        <v>746</v>
      </c>
      <c r="K691" s="390" t="str">
        <f t="shared" si="30"/>
        <v>XXX565960001XX</v>
      </c>
      <c r="L691" s="391" t="s">
        <v>1996</v>
      </c>
      <c r="M691" s="398" t="s">
        <v>704</v>
      </c>
      <c r="N691" s="399">
        <v>1</v>
      </c>
      <c r="O691" s="399" t="s">
        <v>1202</v>
      </c>
      <c r="P691" s="398" t="s">
        <v>1553</v>
      </c>
    </row>
    <row r="692" spans="1:16" s="401" customFormat="1" ht="36">
      <c r="A692" s="452">
        <f t="shared" si="29"/>
        <v>689</v>
      </c>
      <c r="B692" s="387">
        <v>46090</v>
      </c>
      <c r="C692" s="388">
        <v>46083</v>
      </c>
      <c r="D692" s="389" t="s">
        <v>166</v>
      </c>
      <c r="E692" s="398" t="s">
        <v>586</v>
      </c>
      <c r="F692" s="404">
        <v>680</v>
      </c>
      <c r="G692" s="397" t="s">
        <v>1626</v>
      </c>
      <c r="H692" s="389" t="s">
        <v>166</v>
      </c>
      <c r="I692" s="398" t="s">
        <v>620</v>
      </c>
      <c r="J692" s="399" t="s">
        <v>621</v>
      </c>
      <c r="K692" s="390" t="str">
        <f t="shared" si="30"/>
        <v>XXX408760001XX</v>
      </c>
      <c r="L692" s="391" t="s">
        <v>1996</v>
      </c>
      <c r="M692" s="398" t="s">
        <v>706</v>
      </c>
      <c r="N692" s="399">
        <v>2057887401</v>
      </c>
      <c r="O692" s="399" t="s">
        <v>1527</v>
      </c>
      <c r="P692" s="398" t="s">
        <v>1555</v>
      </c>
    </row>
    <row r="693" spans="1:16" s="401" customFormat="1" ht="84">
      <c r="A693" s="452">
        <f t="shared" si="29"/>
        <v>690</v>
      </c>
      <c r="B693" s="387">
        <v>46091</v>
      </c>
      <c r="C693" s="388">
        <v>46055</v>
      </c>
      <c r="D693" s="389" t="s">
        <v>248</v>
      </c>
      <c r="E693" s="393" t="s">
        <v>164</v>
      </c>
      <c r="F693" s="404">
        <v>1610.83</v>
      </c>
      <c r="G693" s="397" t="s">
        <v>1627</v>
      </c>
      <c r="H693" s="389" t="s">
        <v>278</v>
      </c>
      <c r="I693" s="398" t="s">
        <v>803</v>
      </c>
      <c r="J693" s="399" t="s">
        <v>804</v>
      </c>
      <c r="K693" s="390" t="str">
        <f t="shared" si="30"/>
        <v>XXX105090013XX</v>
      </c>
      <c r="L693" s="391" t="s">
        <v>1996</v>
      </c>
      <c r="M693" s="398" t="s">
        <v>704</v>
      </c>
      <c r="N693" s="399">
        <v>149878</v>
      </c>
      <c r="O693" s="399" t="s">
        <v>1528</v>
      </c>
      <c r="P693" s="398" t="s">
        <v>1553</v>
      </c>
    </row>
    <row r="694" spans="1:16" s="401" customFormat="1" ht="84">
      <c r="A694" s="452">
        <f t="shared" si="29"/>
        <v>691</v>
      </c>
      <c r="B694" s="387">
        <v>46091</v>
      </c>
      <c r="C694" s="388">
        <v>46055</v>
      </c>
      <c r="D694" s="389" t="s">
        <v>248</v>
      </c>
      <c r="E694" s="393" t="s">
        <v>164</v>
      </c>
      <c r="F694" s="404">
        <v>555.45000000000005</v>
      </c>
      <c r="G694" s="397" t="s">
        <v>1627</v>
      </c>
      <c r="H694" s="389" t="s">
        <v>278</v>
      </c>
      <c r="I694" s="398" t="s">
        <v>803</v>
      </c>
      <c r="J694" s="399" t="s">
        <v>804</v>
      </c>
      <c r="K694" s="390" t="str">
        <f t="shared" si="30"/>
        <v>XXX105090013XX</v>
      </c>
      <c r="L694" s="391" t="s">
        <v>1996</v>
      </c>
      <c r="M694" s="398" t="s">
        <v>704</v>
      </c>
      <c r="N694" s="399">
        <v>149877</v>
      </c>
      <c r="O694" s="399" t="s">
        <v>1528</v>
      </c>
      <c r="P694" s="398" t="s">
        <v>1553</v>
      </c>
    </row>
    <row r="695" spans="1:16" s="401" customFormat="1" ht="36">
      <c r="A695" s="452">
        <f t="shared" si="29"/>
        <v>692</v>
      </c>
      <c r="B695" s="387">
        <v>46091</v>
      </c>
      <c r="C695" s="388">
        <v>46055</v>
      </c>
      <c r="D695" s="389" t="s">
        <v>248</v>
      </c>
      <c r="E695" s="393" t="s">
        <v>164</v>
      </c>
      <c r="F695" s="404">
        <v>390.94</v>
      </c>
      <c r="G695" s="397" t="s">
        <v>1628</v>
      </c>
      <c r="H695" s="389" t="s">
        <v>278</v>
      </c>
      <c r="I695" s="398" t="s">
        <v>1096</v>
      </c>
      <c r="J695" s="399" t="s">
        <v>1097</v>
      </c>
      <c r="K695" s="390" t="str">
        <f t="shared" si="30"/>
        <v>XXX140620002XX</v>
      </c>
      <c r="L695" s="391" t="s">
        <v>1996</v>
      </c>
      <c r="M695" s="398" t="s">
        <v>704</v>
      </c>
      <c r="N695" s="399">
        <v>137</v>
      </c>
      <c r="O695" s="399" t="s">
        <v>1519</v>
      </c>
      <c r="P695" s="398" t="s">
        <v>1553</v>
      </c>
    </row>
    <row r="696" spans="1:16" s="401" customFormat="1" ht="36">
      <c r="A696" s="452">
        <f t="shared" si="29"/>
        <v>693</v>
      </c>
      <c r="B696" s="387">
        <v>46091</v>
      </c>
      <c r="C696" s="388">
        <v>46055</v>
      </c>
      <c r="D696" s="389" t="s">
        <v>248</v>
      </c>
      <c r="E696" s="393" t="s">
        <v>167</v>
      </c>
      <c r="F696" s="404">
        <v>137.9</v>
      </c>
      <c r="G696" s="397" t="s">
        <v>1629</v>
      </c>
      <c r="H696" s="389" t="s">
        <v>278</v>
      </c>
      <c r="I696" s="398" t="s">
        <v>639</v>
      </c>
      <c r="J696" s="399" t="s">
        <v>640</v>
      </c>
      <c r="K696" s="390" t="str">
        <f t="shared" si="30"/>
        <v>XXX702290021XX</v>
      </c>
      <c r="L696" s="391" t="s">
        <v>1996</v>
      </c>
      <c r="M696" s="398" t="s">
        <v>717</v>
      </c>
      <c r="N696" s="399">
        <v>667738</v>
      </c>
      <c r="O696" s="399" t="s">
        <v>1199</v>
      </c>
      <c r="P696" s="398" t="s">
        <v>1553</v>
      </c>
    </row>
    <row r="697" spans="1:16" s="401" customFormat="1" ht="94.5" customHeight="1">
      <c r="A697" s="452">
        <f t="shared" si="29"/>
        <v>694</v>
      </c>
      <c r="B697" s="387">
        <v>46091</v>
      </c>
      <c r="C697" s="388">
        <v>46083</v>
      </c>
      <c r="D697" s="389" t="s">
        <v>248</v>
      </c>
      <c r="E697" s="393" t="s">
        <v>164</v>
      </c>
      <c r="F697" s="404">
        <v>599.62</v>
      </c>
      <c r="G697" s="397" t="s">
        <v>1630</v>
      </c>
      <c r="H697" s="389" t="s">
        <v>278</v>
      </c>
      <c r="I697" s="398" t="s">
        <v>651</v>
      </c>
      <c r="J697" s="399" t="s">
        <v>652</v>
      </c>
      <c r="K697" s="390" t="str">
        <f t="shared" si="30"/>
        <v>XXX778580001XX</v>
      </c>
      <c r="L697" s="391" t="s">
        <v>1996</v>
      </c>
      <c r="M697" s="398" t="s">
        <v>704</v>
      </c>
      <c r="N697" s="399">
        <v>836</v>
      </c>
      <c r="O697" s="399" t="s">
        <v>1529</v>
      </c>
      <c r="P697" s="398" t="s">
        <v>1553</v>
      </c>
    </row>
    <row r="698" spans="1:16" s="401" customFormat="1" ht="48">
      <c r="A698" s="452">
        <f t="shared" si="29"/>
        <v>695</v>
      </c>
      <c r="B698" s="387">
        <v>46091</v>
      </c>
      <c r="C698" s="388">
        <v>46083</v>
      </c>
      <c r="D698" s="389" t="s">
        <v>353</v>
      </c>
      <c r="E698" s="394" t="s">
        <v>153</v>
      </c>
      <c r="F698" s="404">
        <v>9720</v>
      </c>
      <c r="G698" s="397" t="s">
        <v>1397</v>
      </c>
      <c r="H698" s="389" t="s">
        <v>280</v>
      </c>
      <c r="I698" s="394" t="s">
        <v>744</v>
      </c>
      <c r="J698" s="455">
        <v>7837375000150</v>
      </c>
      <c r="K698" s="390" t="str">
        <f t="shared" si="30"/>
        <v>XXX737500015XX</v>
      </c>
      <c r="L698" s="391" t="s">
        <v>1996</v>
      </c>
      <c r="M698" s="398" t="s">
        <v>1207</v>
      </c>
      <c r="N698" s="399">
        <v>6</v>
      </c>
      <c r="O698" s="399" t="s">
        <v>1526</v>
      </c>
      <c r="P698" s="398" t="s">
        <v>1553</v>
      </c>
    </row>
    <row r="699" spans="1:16" s="401" customFormat="1" ht="36">
      <c r="A699" s="452">
        <f t="shared" si="29"/>
        <v>696</v>
      </c>
      <c r="B699" s="387">
        <v>46091</v>
      </c>
      <c r="C699" s="388">
        <v>46055</v>
      </c>
      <c r="D699" s="389" t="s">
        <v>353</v>
      </c>
      <c r="E699" s="394" t="s">
        <v>153</v>
      </c>
      <c r="F699" s="404">
        <v>-3240</v>
      </c>
      <c r="G699" s="397" t="s">
        <v>1631</v>
      </c>
      <c r="H699" s="389" t="s">
        <v>280</v>
      </c>
      <c r="I699" s="394" t="s">
        <v>744</v>
      </c>
      <c r="J699" s="455">
        <v>7837375000150</v>
      </c>
      <c r="K699" s="390" t="str">
        <f t="shared" si="30"/>
        <v>XXX737500015XX</v>
      </c>
      <c r="L699" s="391" t="s">
        <v>1996</v>
      </c>
      <c r="M699" s="398" t="s">
        <v>1207</v>
      </c>
      <c r="N699" s="399">
        <v>3</v>
      </c>
      <c r="O699" s="399" t="s">
        <v>1201</v>
      </c>
      <c r="P699" s="398" t="s">
        <v>1553</v>
      </c>
    </row>
    <row r="700" spans="1:16" s="401" customFormat="1" ht="36">
      <c r="A700" s="452">
        <f t="shared" si="29"/>
        <v>697</v>
      </c>
      <c r="B700" s="387">
        <v>46091</v>
      </c>
      <c r="C700" s="388">
        <v>46083</v>
      </c>
      <c r="D700" s="389" t="s">
        <v>353</v>
      </c>
      <c r="E700" s="394" t="s">
        <v>153</v>
      </c>
      <c r="F700" s="404">
        <v>-9720</v>
      </c>
      <c r="G700" s="397" t="s">
        <v>1632</v>
      </c>
      <c r="H700" s="389" t="s">
        <v>280</v>
      </c>
      <c r="I700" s="394" t="s">
        <v>744</v>
      </c>
      <c r="J700" s="455">
        <v>7837375000150</v>
      </c>
      <c r="K700" s="390" t="str">
        <f t="shared" si="30"/>
        <v>XXX737500015XX</v>
      </c>
      <c r="L700" s="391" t="s">
        <v>1996</v>
      </c>
      <c r="M700" s="398" t="s">
        <v>1207</v>
      </c>
      <c r="N700" s="399">
        <v>6</v>
      </c>
      <c r="O700" s="399" t="s">
        <v>1526</v>
      </c>
      <c r="P700" s="398" t="s">
        <v>1553</v>
      </c>
    </row>
    <row r="701" spans="1:16" s="401" customFormat="1" ht="36">
      <c r="A701" s="452">
        <f t="shared" si="29"/>
        <v>698</v>
      </c>
      <c r="B701" s="387">
        <v>46091</v>
      </c>
      <c r="C701" s="388">
        <v>46083</v>
      </c>
      <c r="D701" s="389" t="s">
        <v>353</v>
      </c>
      <c r="E701" s="394" t="s">
        <v>334</v>
      </c>
      <c r="F701" s="404">
        <v>250</v>
      </c>
      <c r="G701" s="397" t="s">
        <v>1633</v>
      </c>
      <c r="H701" s="389" t="s">
        <v>280</v>
      </c>
      <c r="I701" s="394" t="s">
        <v>744</v>
      </c>
      <c r="J701" s="455">
        <v>7837375000150</v>
      </c>
      <c r="K701" s="390" t="str">
        <f t="shared" si="30"/>
        <v>XXX737500015XX</v>
      </c>
      <c r="L701" s="391" t="s">
        <v>1996</v>
      </c>
      <c r="M701" s="398" t="s">
        <v>708</v>
      </c>
      <c r="N701" s="399">
        <v>32026</v>
      </c>
      <c r="O701" s="399" t="s">
        <v>1530</v>
      </c>
      <c r="P701" s="398" t="s">
        <v>1553</v>
      </c>
    </row>
    <row r="702" spans="1:16" s="401" customFormat="1" ht="36">
      <c r="A702" s="452">
        <f t="shared" si="29"/>
        <v>699</v>
      </c>
      <c r="B702" s="387">
        <v>46091</v>
      </c>
      <c r="C702" s="388">
        <v>46055</v>
      </c>
      <c r="D702" s="389" t="s">
        <v>353</v>
      </c>
      <c r="E702" s="394" t="s">
        <v>334</v>
      </c>
      <c r="F702" s="404">
        <v>4945.59</v>
      </c>
      <c r="G702" s="397" t="s">
        <v>1634</v>
      </c>
      <c r="H702" s="389" t="s">
        <v>280</v>
      </c>
      <c r="I702" s="394" t="s">
        <v>744</v>
      </c>
      <c r="J702" s="455">
        <v>7837375000150</v>
      </c>
      <c r="K702" s="390" t="str">
        <f t="shared" si="30"/>
        <v>XXX737500015XX</v>
      </c>
      <c r="L702" s="391" t="s">
        <v>1996</v>
      </c>
      <c r="M702" s="398" t="s">
        <v>707</v>
      </c>
      <c r="N702" s="399">
        <v>22026</v>
      </c>
      <c r="O702" s="399" t="s">
        <v>1180</v>
      </c>
      <c r="P702" s="398" t="s">
        <v>1553</v>
      </c>
    </row>
    <row r="703" spans="1:16" s="401" customFormat="1" ht="48">
      <c r="A703" s="452">
        <f t="shared" si="29"/>
        <v>700</v>
      </c>
      <c r="B703" s="387">
        <v>46091</v>
      </c>
      <c r="C703" s="388">
        <v>46083</v>
      </c>
      <c r="D703" s="389" t="s">
        <v>248</v>
      </c>
      <c r="E703" s="398" t="s">
        <v>590</v>
      </c>
      <c r="F703" s="404">
        <v>7152.3</v>
      </c>
      <c r="G703" s="397" t="s">
        <v>1635</v>
      </c>
      <c r="H703" s="389" t="s">
        <v>736</v>
      </c>
      <c r="I703" s="398" t="s">
        <v>1454</v>
      </c>
      <c r="J703" s="399" t="s">
        <v>773</v>
      </c>
      <c r="K703" s="390" t="str">
        <f t="shared" si="30"/>
        <v>XXX000000000XX</v>
      </c>
      <c r="L703" s="391" t="s">
        <v>1996</v>
      </c>
      <c r="M703" s="398" t="s">
        <v>727</v>
      </c>
      <c r="N703" s="399">
        <v>571345545</v>
      </c>
      <c r="O703" s="399" t="s">
        <v>1530</v>
      </c>
      <c r="P703" s="398" t="s">
        <v>1553</v>
      </c>
    </row>
    <row r="704" spans="1:16" s="401" customFormat="1" ht="48">
      <c r="A704" s="452">
        <f t="shared" si="29"/>
        <v>701</v>
      </c>
      <c r="B704" s="387">
        <v>46091</v>
      </c>
      <c r="C704" s="388">
        <v>46083</v>
      </c>
      <c r="D704" s="389" t="s">
        <v>248</v>
      </c>
      <c r="E704" s="398" t="s">
        <v>590</v>
      </c>
      <c r="F704" s="404">
        <v>250.33</v>
      </c>
      <c r="G704" s="397" t="s">
        <v>1635</v>
      </c>
      <c r="H704" s="389" t="s">
        <v>736</v>
      </c>
      <c r="I704" s="398" t="s">
        <v>690</v>
      </c>
      <c r="J704" s="399" t="s">
        <v>691</v>
      </c>
      <c r="K704" s="390" t="str">
        <f t="shared" ref="K704" si="31">IF(J704="","",IF(LEN(J704)&gt;14,IF(ISBLANK(J704),"",J704),REPLACE(REPLACE(J704,1,3,"XXX"),13,2,"XX")))</f>
        <v>XXX011900001XX</v>
      </c>
      <c r="L704" s="391" t="s">
        <v>1996</v>
      </c>
      <c r="M704" s="398" t="s">
        <v>1203</v>
      </c>
      <c r="N704" s="399">
        <v>571345545</v>
      </c>
      <c r="O704" s="399" t="s">
        <v>1530</v>
      </c>
      <c r="P704" s="398" t="s">
        <v>1553</v>
      </c>
    </row>
    <row r="705" spans="1:16" s="401" customFormat="1" ht="48">
      <c r="A705" s="452">
        <f t="shared" si="29"/>
        <v>702</v>
      </c>
      <c r="B705" s="387">
        <v>46091</v>
      </c>
      <c r="C705" s="388">
        <v>46083</v>
      </c>
      <c r="D705" s="389" t="s">
        <v>248</v>
      </c>
      <c r="E705" s="398" t="s">
        <v>590</v>
      </c>
      <c r="F705" s="404">
        <v>3973.5</v>
      </c>
      <c r="G705" s="397" t="s">
        <v>1635</v>
      </c>
      <c r="H705" s="389" t="s">
        <v>736</v>
      </c>
      <c r="I705" s="398" t="s">
        <v>1454</v>
      </c>
      <c r="J705" s="399" t="s">
        <v>773</v>
      </c>
      <c r="K705" s="390" t="str">
        <f t="shared" si="30"/>
        <v>XXX000000000XX</v>
      </c>
      <c r="L705" s="391" t="s">
        <v>1996</v>
      </c>
      <c r="M705" s="398" t="s">
        <v>727</v>
      </c>
      <c r="N705" s="399">
        <v>571348003</v>
      </c>
      <c r="O705" s="399" t="s">
        <v>1530</v>
      </c>
      <c r="P705" s="398" t="s">
        <v>1553</v>
      </c>
    </row>
    <row r="706" spans="1:16" s="401" customFormat="1" ht="48">
      <c r="A706" s="452">
        <f t="shared" si="29"/>
        <v>703</v>
      </c>
      <c r="B706" s="387">
        <v>46091</v>
      </c>
      <c r="C706" s="388">
        <v>46083</v>
      </c>
      <c r="D706" s="389" t="s">
        <v>248</v>
      </c>
      <c r="E706" s="398" t="s">
        <v>590</v>
      </c>
      <c r="F706" s="404">
        <v>139.07</v>
      </c>
      <c r="G706" s="397" t="s">
        <v>1635</v>
      </c>
      <c r="H706" s="389" t="s">
        <v>736</v>
      </c>
      <c r="I706" s="398" t="s">
        <v>690</v>
      </c>
      <c r="J706" s="399" t="s">
        <v>691</v>
      </c>
      <c r="K706" s="390" t="str">
        <f t="shared" si="30"/>
        <v>XXX011900001XX</v>
      </c>
      <c r="L706" s="391" t="s">
        <v>1996</v>
      </c>
      <c r="M706" s="398" t="s">
        <v>1203</v>
      </c>
      <c r="N706" s="399">
        <v>571348003</v>
      </c>
      <c r="O706" s="399" t="s">
        <v>1530</v>
      </c>
      <c r="P706" s="398" t="s">
        <v>1553</v>
      </c>
    </row>
    <row r="707" spans="1:16" s="401" customFormat="1" ht="36">
      <c r="A707" s="452">
        <f t="shared" si="29"/>
        <v>704</v>
      </c>
      <c r="B707" s="387">
        <v>46092</v>
      </c>
      <c r="C707" s="388">
        <v>46055</v>
      </c>
      <c r="D707" s="389" t="s">
        <v>248</v>
      </c>
      <c r="E707" s="393" t="s">
        <v>150</v>
      </c>
      <c r="F707" s="404">
        <v>887.58</v>
      </c>
      <c r="G707" s="397" t="s">
        <v>1636</v>
      </c>
      <c r="H707" s="389" t="s">
        <v>278</v>
      </c>
      <c r="I707" s="398" t="s">
        <v>641</v>
      </c>
      <c r="J707" s="399" t="s">
        <v>642</v>
      </c>
      <c r="K707" s="390" t="str">
        <f t="shared" si="30"/>
        <v>XXX581570009XX</v>
      </c>
      <c r="L707" s="391" t="s">
        <v>1996</v>
      </c>
      <c r="M707" s="398" t="s">
        <v>717</v>
      </c>
      <c r="N707" s="399">
        <v>792416</v>
      </c>
      <c r="O707" s="399" t="s">
        <v>1531</v>
      </c>
      <c r="P707" s="398" t="s">
        <v>1554</v>
      </c>
    </row>
    <row r="708" spans="1:16" s="401" customFormat="1" ht="36">
      <c r="A708" s="452">
        <f t="shared" ref="A708:A771" si="32">IF(B708="","",ROW()-ROW($A$3))</f>
        <v>705</v>
      </c>
      <c r="B708" s="387">
        <v>46092</v>
      </c>
      <c r="C708" s="388">
        <v>46055</v>
      </c>
      <c r="D708" s="389" t="s">
        <v>353</v>
      </c>
      <c r="E708" s="394" t="s">
        <v>153</v>
      </c>
      <c r="F708" s="404">
        <v>5400</v>
      </c>
      <c r="G708" s="397" t="s">
        <v>1637</v>
      </c>
      <c r="H708" s="389" t="s">
        <v>280</v>
      </c>
      <c r="I708" s="394" t="s">
        <v>744</v>
      </c>
      <c r="J708" s="455">
        <v>7837375000150</v>
      </c>
      <c r="K708" s="390" t="str">
        <f t="shared" si="30"/>
        <v>XXX737500015XX</v>
      </c>
      <c r="L708" s="391" t="s">
        <v>1996</v>
      </c>
      <c r="M708" s="398" t="s">
        <v>708</v>
      </c>
      <c r="N708" s="399">
        <v>4</v>
      </c>
      <c r="O708" s="399" t="s">
        <v>1202</v>
      </c>
      <c r="P708" s="398" t="s">
        <v>1553</v>
      </c>
    </row>
    <row r="709" spans="1:16" s="401" customFormat="1" ht="48">
      <c r="A709" s="452">
        <f t="shared" si="32"/>
        <v>706</v>
      </c>
      <c r="B709" s="387">
        <v>46092</v>
      </c>
      <c r="C709" s="388">
        <v>46055</v>
      </c>
      <c r="D709" s="389" t="s">
        <v>248</v>
      </c>
      <c r="E709" s="398" t="s">
        <v>610</v>
      </c>
      <c r="F709" s="404">
        <v>1736.43</v>
      </c>
      <c r="G709" s="397" t="s">
        <v>1638</v>
      </c>
      <c r="H709" s="389" t="s">
        <v>736</v>
      </c>
      <c r="I709" s="398" t="s">
        <v>686</v>
      </c>
      <c r="J709" s="399" t="s">
        <v>687</v>
      </c>
      <c r="K709" s="390" t="str">
        <f t="shared" si="30"/>
        <v>XXX900500001XX</v>
      </c>
      <c r="L709" s="391" t="s">
        <v>1996</v>
      </c>
      <c r="M709" s="398" t="s">
        <v>719</v>
      </c>
      <c r="N709" s="399">
        <v>37198</v>
      </c>
      <c r="O709" s="399" t="s">
        <v>1200</v>
      </c>
      <c r="P709" s="398" t="s">
        <v>1554</v>
      </c>
    </row>
    <row r="710" spans="1:16" s="401" customFormat="1" ht="36">
      <c r="A710" s="452">
        <f t="shared" si="32"/>
        <v>707</v>
      </c>
      <c r="B710" s="387">
        <v>46092</v>
      </c>
      <c r="C710" s="388">
        <v>46083</v>
      </c>
      <c r="D710" s="389" t="s">
        <v>353</v>
      </c>
      <c r="E710" s="394" t="s">
        <v>153</v>
      </c>
      <c r="F710" s="404">
        <v>1800</v>
      </c>
      <c r="G710" s="397" t="s">
        <v>1637</v>
      </c>
      <c r="H710" s="389" t="s">
        <v>280</v>
      </c>
      <c r="I710" s="394" t="s">
        <v>744</v>
      </c>
      <c r="J710" s="455">
        <v>7837375000150</v>
      </c>
      <c r="K710" s="390" t="str">
        <f t="shared" si="30"/>
        <v>XXX737500015XX</v>
      </c>
      <c r="L710" s="391" t="s">
        <v>1996</v>
      </c>
      <c r="M710" s="398" t="s">
        <v>708</v>
      </c>
      <c r="N710" s="399">
        <v>8</v>
      </c>
      <c r="O710" s="399" t="s">
        <v>1530</v>
      </c>
      <c r="P710" s="398" t="s">
        <v>1553</v>
      </c>
    </row>
    <row r="711" spans="1:16" s="401" customFormat="1" ht="36">
      <c r="A711" s="452">
        <f t="shared" si="32"/>
        <v>708</v>
      </c>
      <c r="B711" s="387">
        <v>46092</v>
      </c>
      <c r="C711" s="388">
        <v>46055</v>
      </c>
      <c r="D711" s="389" t="s">
        <v>353</v>
      </c>
      <c r="E711" s="394" t="s">
        <v>153</v>
      </c>
      <c r="F711" s="404">
        <v>3240</v>
      </c>
      <c r="G711" s="397" t="s">
        <v>1639</v>
      </c>
      <c r="H711" s="389" t="s">
        <v>280</v>
      </c>
      <c r="I711" s="394" t="s">
        <v>744</v>
      </c>
      <c r="J711" s="455">
        <v>7837375000150</v>
      </c>
      <c r="K711" s="390" t="str">
        <f t="shared" si="30"/>
        <v>XXX737500015XX</v>
      </c>
      <c r="L711" s="391" t="s">
        <v>1996</v>
      </c>
      <c r="M711" s="398" t="s">
        <v>708</v>
      </c>
      <c r="N711" s="399">
        <v>3</v>
      </c>
      <c r="O711" s="399" t="s">
        <v>1201</v>
      </c>
      <c r="P711" s="398" t="s">
        <v>1553</v>
      </c>
    </row>
    <row r="712" spans="1:16" s="401" customFormat="1" ht="36">
      <c r="A712" s="452">
        <f t="shared" si="32"/>
        <v>709</v>
      </c>
      <c r="B712" s="387">
        <v>46092</v>
      </c>
      <c r="C712" s="388">
        <v>46083</v>
      </c>
      <c r="D712" s="389" t="s">
        <v>353</v>
      </c>
      <c r="E712" s="394" t="s">
        <v>153</v>
      </c>
      <c r="F712" s="404">
        <v>9720</v>
      </c>
      <c r="G712" s="397" t="s">
        <v>1639</v>
      </c>
      <c r="H712" s="389" t="s">
        <v>280</v>
      </c>
      <c r="I712" s="394" t="s">
        <v>744</v>
      </c>
      <c r="J712" s="455">
        <v>7837375000150</v>
      </c>
      <c r="K712" s="390" t="str">
        <f t="shared" si="30"/>
        <v>XXX737500015XX</v>
      </c>
      <c r="L712" s="391" t="s">
        <v>1996</v>
      </c>
      <c r="M712" s="398" t="s">
        <v>708</v>
      </c>
      <c r="N712" s="399">
        <v>6</v>
      </c>
      <c r="O712" s="399" t="s">
        <v>1526</v>
      </c>
      <c r="P712" s="398" t="s">
        <v>1553</v>
      </c>
    </row>
    <row r="713" spans="1:16" s="401" customFormat="1" ht="36">
      <c r="A713" s="452">
        <f t="shared" si="32"/>
        <v>710</v>
      </c>
      <c r="B713" s="387">
        <v>46092</v>
      </c>
      <c r="C713" s="388">
        <v>46083</v>
      </c>
      <c r="D713" s="389" t="s">
        <v>248</v>
      </c>
      <c r="E713" s="398" t="s">
        <v>590</v>
      </c>
      <c r="F713" s="404">
        <v>756.85</v>
      </c>
      <c r="G713" s="397" t="s">
        <v>1926</v>
      </c>
      <c r="H713" s="389" t="s">
        <v>736</v>
      </c>
      <c r="I713" s="398" t="s">
        <v>668</v>
      </c>
      <c r="J713" s="399" t="s">
        <v>669</v>
      </c>
      <c r="K713" s="390" t="str">
        <f t="shared" si="30"/>
        <v>XXX077460001XX</v>
      </c>
      <c r="L713" s="391" t="s">
        <v>1996</v>
      </c>
      <c r="M713" s="398" t="s">
        <v>1204</v>
      </c>
      <c r="N713" s="399">
        <v>570781866</v>
      </c>
      <c r="O713" s="399" t="s">
        <v>1527</v>
      </c>
      <c r="P713" s="398" t="s">
        <v>1553</v>
      </c>
    </row>
    <row r="714" spans="1:16" s="401" customFormat="1" ht="36">
      <c r="A714" s="452">
        <f t="shared" si="32"/>
        <v>711</v>
      </c>
      <c r="B714" s="387">
        <v>46092</v>
      </c>
      <c r="C714" s="388">
        <v>46083</v>
      </c>
      <c r="D714" s="389" t="s">
        <v>248</v>
      </c>
      <c r="E714" s="398" t="s">
        <v>590</v>
      </c>
      <c r="F714" s="404">
        <v>456.18</v>
      </c>
      <c r="G714" s="397" t="s">
        <v>1927</v>
      </c>
      <c r="H714" s="389" t="s">
        <v>736</v>
      </c>
      <c r="I714" s="398" t="s">
        <v>668</v>
      </c>
      <c r="J714" s="399" t="s">
        <v>669</v>
      </c>
      <c r="K714" s="390" t="str">
        <f t="shared" si="30"/>
        <v>XXX077460001XX</v>
      </c>
      <c r="L714" s="391" t="s">
        <v>1996</v>
      </c>
      <c r="M714" s="398" t="s">
        <v>1204</v>
      </c>
      <c r="N714" s="399">
        <v>57078285</v>
      </c>
      <c r="O714" s="399" t="s">
        <v>1527</v>
      </c>
      <c r="P714" s="398" t="s">
        <v>1553</v>
      </c>
    </row>
    <row r="715" spans="1:16" s="401" customFormat="1" ht="36">
      <c r="A715" s="452">
        <f t="shared" si="32"/>
        <v>712</v>
      </c>
      <c r="B715" s="387">
        <v>46092</v>
      </c>
      <c r="C715" s="388">
        <v>46083</v>
      </c>
      <c r="D715" s="389" t="s">
        <v>248</v>
      </c>
      <c r="E715" s="398" t="s">
        <v>590</v>
      </c>
      <c r="F715" s="404">
        <v>1058.46</v>
      </c>
      <c r="G715" s="397" t="s">
        <v>1928</v>
      </c>
      <c r="H715" s="389" t="s">
        <v>736</v>
      </c>
      <c r="I715" s="398" t="s">
        <v>668</v>
      </c>
      <c r="J715" s="399" t="s">
        <v>669</v>
      </c>
      <c r="K715" s="390" t="str">
        <f t="shared" si="30"/>
        <v>XXX077460001XX</v>
      </c>
      <c r="L715" s="391" t="s">
        <v>1996</v>
      </c>
      <c r="M715" s="398" t="s">
        <v>1204</v>
      </c>
      <c r="N715" s="399">
        <v>570782567</v>
      </c>
      <c r="O715" s="399" t="s">
        <v>1527</v>
      </c>
      <c r="P715" s="398" t="s">
        <v>1553</v>
      </c>
    </row>
    <row r="716" spans="1:16" s="401" customFormat="1" ht="48">
      <c r="A716" s="452">
        <f t="shared" si="32"/>
        <v>713</v>
      </c>
      <c r="B716" s="387">
        <v>46092</v>
      </c>
      <c r="C716" s="388">
        <v>46083</v>
      </c>
      <c r="D716" s="389" t="s">
        <v>248</v>
      </c>
      <c r="E716" s="398" t="s">
        <v>590</v>
      </c>
      <c r="F716" s="404">
        <v>1262.17</v>
      </c>
      <c r="G716" s="397" t="s">
        <v>1929</v>
      </c>
      <c r="H716" s="389" t="s">
        <v>736</v>
      </c>
      <c r="I716" s="398" t="s">
        <v>668</v>
      </c>
      <c r="J716" s="399" t="s">
        <v>669</v>
      </c>
      <c r="K716" s="390" t="str">
        <f t="shared" si="30"/>
        <v>XXX077460001XX</v>
      </c>
      <c r="L716" s="391" t="s">
        <v>1996</v>
      </c>
      <c r="M716" s="398" t="s">
        <v>1204</v>
      </c>
      <c r="N716" s="399">
        <v>571345545</v>
      </c>
      <c r="O716" s="399" t="s">
        <v>1530</v>
      </c>
      <c r="P716" s="398" t="s">
        <v>1553</v>
      </c>
    </row>
    <row r="717" spans="1:16" s="401" customFormat="1" ht="48">
      <c r="A717" s="452">
        <f t="shared" si="32"/>
        <v>714</v>
      </c>
      <c r="B717" s="387">
        <v>46092</v>
      </c>
      <c r="C717" s="388">
        <v>46083</v>
      </c>
      <c r="D717" s="389" t="s">
        <v>248</v>
      </c>
      <c r="E717" s="398" t="s">
        <v>590</v>
      </c>
      <c r="F717" s="404">
        <v>1324.5</v>
      </c>
      <c r="G717" s="397" t="s">
        <v>1929</v>
      </c>
      <c r="H717" s="389" t="s">
        <v>736</v>
      </c>
      <c r="I717" s="398" t="s">
        <v>668</v>
      </c>
      <c r="J717" s="399" t="s">
        <v>669</v>
      </c>
      <c r="K717" s="390" t="str">
        <f t="shared" si="30"/>
        <v>XXX077460001XX</v>
      </c>
      <c r="L717" s="391" t="s">
        <v>1996</v>
      </c>
      <c r="M717" s="398" t="s">
        <v>1204</v>
      </c>
      <c r="N717" s="399">
        <v>571348003</v>
      </c>
      <c r="O717" s="399" t="s">
        <v>1530</v>
      </c>
      <c r="P717" s="398" t="s">
        <v>1553</v>
      </c>
    </row>
    <row r="718" spans="1:16" s="401" customFormat="1" ht="48">
      <c r="A718" s="452">
        <f t="shared" si="32"/>
        <v>715</v>
      </c>
      <c r="B718" s="387">
        <v>46092</v>
      </c>
      <c r="C718" s="388">
        <v>46083</v>
      </c>
      <c r="D718" s="389" t="s">
        <v>353</v>
      </c>
      <c r="E718" s="394" t="s">
        <v>153</v>
      </c>
      <c r="F718" s="404">
        <v>3240</v>
      </c>
      <c r="G718" s="397" t="s">
        <v>1397</v>
      </c>
      <c r="H718" s="389" t="s">
        <v>280</v>
      </c>
      <c r="I718" s="394" t="s">
        <v>744</v>
      </c>
      <c r="J718" s="455">
        <v>7837375000150</v>
      </c>
      <c r="K718" s="390" t="str">
        <f t="shared" si="30"/>
        <v>XXX737500015XX</v>
      </c>
      <c r="L718" s="391" t="s">
        <v>1996</v>
      </c>
      <c r="M718" s="398" t="s">
        <v>708</v>
      </c>
      <c r="N718" s="399">
        <v>10</v>
      </c>
      <c r="O718" s="399" t="s">
        <v>1532</v>
      </c>
      <c r="P718" s="398" t="s">
        <v>1553</v>
      </c>
    </row>
    <row r="719" spans="1:16" s="401" customFormat="1" ht="60">
      <c r="A719" s="452">
        <f t="shared" si="32"/>
        <v>716</v>
      </c>
      <c r="B719" s="387">
        <v>46092</v>
      </c>
      <c r="C719" s="388">
        <v>46083</v>
      </c>
      <c r="D719" s="389" t="s">
        <v>248</v>
      </c>
      <c r="E719" s="398" t="s">
        <v>604</v>
      </c>
      <c r="F719" s="404">
        <v>14.25</v>
      </c>
      <c r="G719" s="397" t="s">
        <v>1640</v>
      </c>
      <c r="H719" s="389" t="s">
        <v>1029</v>
      </c>
      <c r="I719" s="398" t="s">
        <v>881</v>
      </c>
      <c r="J719" s="399" t="s">
        <v>773</v>
      </c>
      <c r="K719" s="390" t="str">
        <f t="shared" si="30"/>
        <v>XXX000000000XX</v>
      </c>
      <c r="L719" s="391" t="s">
        <v>1996</v>
      </c>
      <c r="M719" s="398" t="s">
        <v>710</v>
      </c>
      <c r="N719" s="399">
        <v>94652</v>
      </c>
      <c r="O719" s="399" t="s">
        <v>1532</v>
      </c>
      <c r="P719" s="398" t="s">
        <v>735</v>
      </c>
    </row>
    <row r="720" spans="1:16" s="401" customFormat="1" ht="60">
      <c r="A720" s="452">
        <f t="shared" si="32"/>
        <v>717</v>
      </c>
      <c r="B720" s="387">
        <v>46093</v>
      </c>
      <c r="C720" s="388">
        <v>46055</v>
      </c>
      <c r="D720" s="389" t="s">
        <v>248</v>
      </c>
      <c r="E720" s="398" t="s">
        <v>597</v>
      </c>
      <c r="F720" s="404">
        <v>1364.76</v>
      </c>
      <c r="G720" s="397" t="s">
        <v>1641</v>
      </c>
      <c r="H720" s="389" t="s">
        <v>278</v>
      </c>
      <c r="I720" s="398" t="s">
        <v>698</v>
      </c>
      <c r="J720" s="399" t="s">
        <v>699</v>
      </c>
      <c r="K720" s="390" t="str">
        <f t="shared" si="30"/>
        <v>XXX553420010XX</v>
      </c>
      <c r="L720" s="391" t="s">
        <v>1996</v>
      </c>
      <c r="M720" s="398" t="s">
        <v>708</v>
      </c>
      <c r="N720" s="399">
        <v>755411</v>
      </c>
      <c r="O720" s="399" t="s">
        <v>1191</v>
      </c>
      <c r="P720" s="398" t="s">
        <v>1553</v>
      </c>
    </row>
    <row r="721" spans="1:16" s="401" customFormat="1" ht="48">
      <c r="A721" s="452">
        <f t="shared" si="32"/>
        <v>718</v>
      </c>
      <c r="B721" s="387">
        <v>46093</v>
      </c>
      <c r="C721" s="388">
        <v>46083</v>
      </c>
      <c r="D721" s="389" t="s">
        <v>248</v>
      </c>
      <c r="E721" s="398" t="s">
        <v>607</v>
      </c>
      <c r="F721" s="404">
        <v>3848.16</v>
      </c>
      <c r="G721" s="397" t="s">
        <v>1642</v>
      </c>
      <c r="H721" s="389" t="s">
        <v>278</v>
      </c>
      <c r="I721" s="398" t="s">
        <v>747</v>
      </c>
      <c r="J721" s="399" t="s">
        <v>748</v>
      </c>
      <c r="K721" s="390" t="str">
        <f t="shared" si="30"/>
        <v>XXX262980001XX</v>
      </c>
      <c r="L721" s="391" t="s">
        <v>1996</v>
      </c>
      <c r="M721" s="398" t="s">
        <v>704</v>
      </c>
      <c r="N721" s="399">
        <v>723</v>
      </c>
      <c r="O721" s="399" t="s">
        <v>1522</v>
      </c>
      <c r="P721" s="398" t="s">
        <v>1553</v>
      </c>
    </row>
    <row r="722" spans="1:16" s="401" customFormat="1" ht="36">
      <c r="A722" s="452">
        <f t="shared" si="32"/>
        <v>719</v>
      </c>
      <c r="B722" s="387">
        <v>46093</v>
      </c>
      <c r="C722" s="388">
        <v>46083</v>
      </c>
      <c r="D722" s="389" t="s">
        <v>248</v>
      </c>
      <c r="E722" s="398" t="s">
        <v>1550</v>
      </c>
      <c r="F722" s="404">
        <v>606.34</v>
      </c>
      <c r="G722" s="397" t="s">
        <v>1643</v>
      </c>
      <c r="H722" s="389" t="s">
        <v>736</v>
      </c>
      <c r="I722" s="398" t="s">
        <v>686</v>
      </c>
      <c r="J722" s="399" t="s">
        <v>687</v>
      </c>
      <c r="K722" s="390" t="str">
        <f t="shared" si="30"/>
        <v>XXX900500001XX</v>
      </c>
      <c r="L722" s="391" t="s">
        <v>1996</v>
      </c>
      <c r="M722" s="398" t="s">
        <v>719</v>
      </c>
      <c r="N722" s="399">
        <v>37232</v>
      </c>
      <c r="O722" s="399" t="s">
        <v>1529</v>
      </c>
      <c r="P722" s="398" t="s">
        <v>1554</v>
      </c>
    </row>
    <row r="723" spans="1:16" s="401" customFormat="1" ht="48">
      <c r="A723" s="452">
        <f t="shared" si="32"/>
        <v>720</v>
      </c>
      <c r="B723" s="387">
        <v>46093</v>
      </c>
      <c r="C723" s="388">
        <v>46083</v>
      </c>
      <c r="D723" s="389" t="s">
        <v>248</v>
      </c>
      <c r="E723" s="395" t="s">
        <v>494</v>
      </c>
      <c r="F723" s="404">
        <v>4561.79</v>
      </c>
      <c r="G723" s="397" t="s">
        <v>1644</v>
      </c>
      <c r="H723" s="389" t="s">
        <v>736</v>
      </c>
      <c r="I723" s="398" t="s">
        <v>1455</v>
      </c>
      <c r="J723" s="399" t="s">
        <v>1456</v>
      </c>
      <c r="K723" s="390" t="str">
        <f t="shared" si="30"/>
        <v>XXX152670001XX</v>
      </c>
      <c r="L723" s="391" t="s">
        <v>1996</v>
      </c>
      <c r="M723" s="398" t="s">
        <v>707</v>
      </c>
      <c r="N723" s="399">
        <v>11</v>
      </c>
      <c r="O723" s="399" t="s">
        <v>1522</v>
      </c>
      <c r="P723" s="398" t="s">
        <v>1554</v>
      </c>
    </row>
    <row r="724" spans="1:16" s="401" customFormat="1" ht="60">
      <c r="A724" s="452">
        <f t="shared" si="32"/>
        <v>721</v>
      </c>
      <c r="B724" s="387">
        <v>46093</v>
      </c>
      <c r="C724" s="388">
        <v>46083</v>
      </c>
      <c r="D724" s="389" t="s">
        <v>248</v>
      </c>
      <c r="E724" s="398" t="s">
        <v>596</v>
      </c>
      <c r="F724" s="404">
        <v>1330</v>
      </c>
      <c r="G724" s="397" t="s">
        <v>1645</v>
      </c>
      <c r="H724" s="389" t="s">
        <v>737</v>
      </c>
      <c r="I724" s="398" t="s">
        <v>662</v>
      </c>
      <c r="J724" s="399" t="s">
        <v>663</v>
      </c>
      <c r="K724" s="390" t="str">
        <f t="shared" si="30"/>
        <v>XXX901370001XX</v>
      </c>
      <c r="L724" s="391" t="s">
        <v>1996</v>
      </c>
      <c r="M724" s="398" t="s">
        <v>719</v>
      </c>
      <c r="N724" s="399">
        <v>324</v>
      </c>
      <c r="O724" s="399" t="s">
        <v>1529</v>
      </c>
      <c r="P724" s="398" t="s">
        <v>1554</v>
      </c>
    </row>
    <row r="725" spans="1:16" s="401" customFormat="1" ht="36">
      <c r="A725" s="452">
        <f t="shared" si="32"/>
        <v>722</v>
      </c>
      <c r="B725" s="387">
        <v>46093</v>
      </c>
      <c r="C725" s="388">
        <v>46083</v>
      </c>
      <c r="D725" s="389" t="s">
        <v>248</v>
      </c>
      <c r="E725" s="398" t="s">
        <v>1551</v>
      </c>
      <c r="F725" s="404">
        <v>1016</v>
      </c>
      <c r="G725" s="397" t="s">
        <v>1646</v>
      </c>
      <c r="H725" s="389" t="s">
        <v>737</v>
      </c>
      <c r="I725" s="398" t="s">
        <v>1457</v>
      </c>
      <c r="J725" s="399" t="s">
        <v>1458</v>
      </c>
      <c r="K725" s="390" t="str">
        <f t="shared" si="30"/>
        <v>XXX645400001XX</v>
      </c>
      <c r="L725" s="391" t="s">
        <v>1996</v>
      </c>
      <c r="M725" s="398" t="s">
        <v>719</v>
      </c>
      <c r="N725" s="399">
        <v>60</v>
      </c>
      <c r="O725" s="399" t="s">
        <v>1522</v>
      </c>
      <c r="P725" s="398" t="s">
        <v>1554</v>
      </c>
    </row>
    <row r="726" spans="1:16" s="401" customFormat="1" ht="48">
      <c r="A726" s="452">
        <f t="shared" si="32"/>
        <v>723</v>
      </c>
      <c r="B726" s="387">
        <v>46093</v>
      </c>
      <c r="C726" s="388">
        <v>46083</v>
      </c>
      <c r="D726" s="389" t="s">
        <v>132</v>
      </c>
      <c r="E726" s="398" t="s">
        <v>1220</v>
      </c>
      <c r="F726" s="404">
        <v>8100</v>
      </c>
      <c r="G726" s="397" t="s">
        <v>1647</v>
      </c>
      <c r="H726" s="389" t="s">
        <v>736</v>
      </c>
      <c r="I726" s="398" t="s">
        <v>1459</v>
      </c>
      <c r="J726" s="399" t="s">
        <v>1460</v>
      </c>
      <c r="K726" s="390" t="str">
        <f t="shared" si="30"/>
        <v>XXX997230001XX</v>
      </c>
      <c r="L726" s="391" t="s">
        <v>1996</v>
      </c>
      <c r="M726" s="398" t="s">
        <v>719</v>
      </c>
      <c r="N726" s="399">
        <v>343</v>
      </c>
      <c r="O726" s="399" t="s">
        <v>1522</v>
      </c>
      <c r="P726" s="398" t="s">
        <v>1554</v>
      </c>
    </row>
    <row r="727" spans="1:16" s="401" customFormat="1" ht="24">
      <c r="A727" s="452">
        <f t="shared" si="32"/>
        <v>724</v>
      </c>
      <c r="B727" s="387">
        <v>46093</v>
      </c>
      <c r="C727" s="388">
        <v>46083</v>
      </c>
      <c r="D727" s="389" t="s">
        <v>248</v>
      </c>
      <c r="E727" s="395" t="s">
        <v>171</v>
      </c>
      <c r="F727" s="404">
        <v>8106.58</v>
      </c>
      <c r="G727" s="397" t="s">
        <v>1648</v>
      </c>
      <c r="H727" s="389" t="s">
        <v>278</v>
      </c>
      <c r="I727" s="398" t="s">
        <v>660</v>
      </c>
      <c r="J727" s="399" t="s">
        <v>661</v>
      </c>
      <c r="K727" s="390" t="str">
        <f t="shared" si="30"/>
        <v>XXX500340001XX</v>
      </c>
      <c r="L727" s="391" t="s">
        <v>1996</v>
      </c>
      <c r="M727" s="398" t="s">
        <v>707</v>
      </c>
      <c r="N727" s="399">
        <v>29</v>
      </c>
      <c r="O727" s="399" t="s">
        <v>1522</v>
      </c>
      <c r="P727" s="398" t="s">
        <v>1554</v>
      </c>
    </row>
    <row r="728" spans="1:16" s="401" customFormat="1" ht="60">
      <c r="A728" s="452">
        <f t="shared" si="32"/>
        <v>725</v>
      </c>
      <c r="B728" s="387">
        <v>46093</v>
      </c>
      <c r="C728" s="388">
        <v>46083</v>
      </c>
      <c r="D728" s="389" t="s">
        <v>248</v>
      </c>
      <c r="E728" s="398" t="s">
        <v>610</v>
      </c>
      <c r="F728" s="404">
        <v>1566.94</v>
      </c>
      <c r="G728" s="397" t="s">
        <v>1649</v>
      </c>
      <c r="H728" s="389" t="s">
        <v>736</v>
      </c>
      <c r="I728" s="398" t="s">
        <v>686</v>
      </c>
      <c r="J728" s="399" t="s">
        <v>687</v>
      </c>
      <c r="K728" s="390" t="str">
        <f t="shared" ref="K728:K766" si="33">IF(J728="","",IF(LEN(J728)&gt;14,IF(ISBLANK(J728),"",J728),REPLACE(REPLACE(J728,1,3,"XXX"),13,2,"XX")))</f>
        <v>XXX900500001XX</v>
      </c>
      <c r="L728" s="391" t="s">
        <v>1996</v>
      </c>
      <c r="M728" s="398" t="s">
        <v>719</v>
      </c>
      <c r="N728" s="399">
        <v>37221</v>
      </c>
      <c r="O728" s="399" t="s">
        <v>1520</v>
      </c>
      <c r="P728" s="398" t="s">
        <v>1554</v>
      </c>
    </row>
    <row r="729" spans="1:16" s="401" customFormat="1" ht="48">
      <c r="A729" s="452">
        <f t="shared" si="32"/>
        <v>726</v>
      </c>
      <c r="B729" s="387">
        <v>46093</v>
      </c>
      <c r="C729" s="388">
        <v>46083</v>
      </c>
      <c r="D729" s="389" t="s">
        <v>248</v>
      </c>
      <c r="E729" s="398" t="s">
        <v>605</v>
      </c>
      <c r="F729" s="404">
        <v>961.88</v>
      </c>
      <c r="G729" s="397" t="s">
        <v>1650</v>
      </c>
      <c r="H729" s="389" t="s">
        <v>278</v>
      </c>
      <c r="I729" s="398" t="s">
        <v>1109</v>
      </c>
      <c r="J729" s="399" t="s">
        <v>1110</v>
      </c>
      <c r="K729" s="390" t="str">
        <f t="shared" si="33"/>
        <v>XXX375260001XX</v>
      </c>
      <c r="L729" s="391" t="s">
        <v>1996</v>
      </c>
      <c r="M729" s="398" t="s">
        <v>708</v>
      </c>
      <c r="N729" s="399">
        <v>632</v>
      </c>
      <c r="O729" s="399" t="s">
        <v>1520</v>
      </c>
      <c r="P729" s="398" t="s">
        <v>1553</v>
      </c>
    </row>
    <row r="730" spans="1:16" s="401" customFormat="1" ht="96">
      <c r="A730" s="452">
        <f t="shared" si="32"/>
        <v>727</v>
      </c>
      <c r="B730" s="387">
        <v>46093</v>
      </c>
      <c r="C730" s="388">
        <v>46083</v>
      </c>
      <c r="D730" s="389" t="s">
        <v>248</v>
      </c>
      <c r="E730" s="398" t="s">
        <v>595</v>
      </c>
      <c r="F730" s="404">
        <v>1788.95</v>
      </c>
      <c r="G730" s="397" t="s">
        <v>1651</v>
      </c>
      <c r="H730" s="389" t="s">
        <v>278</v>
      </c>
      <c r="I730" s="398" t="s">
        <v>649</v>
      </c>
      <c r="J730" s="399" t="s">
        <v>650</v>
      </c>
      <c r="K730" s="390" t="str">
        <f t="shared" si="33"/>
        <v>XXX213490001XX</v>
      </c>
      <c r="L730" s="391" t="s">
        <v>1996</v>
      </c>
      <c r="M730" s="398" t="s">
        <v>707</v>
      </c>
      <c r="N730" s="399">
        <v>742</v>
      </c>
      <c r="O730" s="399" t="s">
        <v>1520</v>
      </c>
      <c r="P730" s="398" t="s">
        <v>1554</v>
      </c>
    </row>
    <row r="731" spans="1:16" s="401" customFormat="1" ht="48">
      <c r="A731" s="452">
        <f t="shared" si="32"/>
        <v>728</v>
      </c>
      <c r="B731" s="387">
        <v>46093</v>
      </c>
      <c r="C731" s="388">
        <v>46083</v>
      </c>
      <c r="D731" s="389" t="s">
        <v>248</v>
      </c>
      <c r="E731" s="398" t="s">
        <v>1216</v>
      </c>
      <c r="F731" s="404">
        <v>1981.88</v>
      </c>
      <c r="G731" s="397" t="s">
        <v>1652</v>
      </c>
      <c r="H731" s="389" t="s">
        <v>278</v>
      </c>
      <c r="I731" s="398" t="s">
        <v>1127</v>
      </c>
      <c r="J731" s="399" t="s">
        <v>1128</v>
      </c>
      <c r="K731" s="390" t="str">
        <f t="shared" si="33"/>
        <v>XXX254870001XX</v>
      </c>
      <c r="L731" s="391" t="s">
        <v>1996</v>
      </c>
      <c r="M731" s="398" t="s">
        <v>704</v>
      </c>
      <c r="N731" s="399">
        <v>52788</v>
      </c>
      <c r="O731" s="399" t="s">
        <v>1520</v>
      </c>
      <c r="P731" s="398" t="s">
        <v>1554</v>
      </c>
    </row>
    <row r="732" spans="1:16" s="401" customFormat="1" ht="96">
      <c r="A732" s="452">
        <f t="shared" si="32"/>
        <v>729</v>
      </c>
      <c r="B732" s="387">
        <v>46093</v>
      </c>
      <c r="C732" s="388">
        <v>46083</v>
      </c>
      <c r="D732" s="389" t="s">
        <v>248</v>
      </c>
      <c r="E732" s="398" t="s">
        <v>1550</v>
      </c>
      <c r="F732" s="404">
        <v>1761.38</v>
      </c>
      <c r="G732" s="397" t="s">
        <v>1653</v>
      </c>
      <c r="H732" s="389" t="s">
        <v>736</v>
      </c>
      <c r="I732" s="398" t="s">
        <v>686</v>
      </c>
      <c r="J732" s="399" t="s">
        <v>687</v>
      </c>
      <c r="K732" s="390" t="str">
        <f t="shared" si="33"/>
        <v>XXX900500001XX</v>
      </c>
      <c r="L732" s="391" t="s">
        <v>1996</v>
      </c>
      <c r="M732" s="398" t="s">
        <v>1544</v>
      </c>
      <c r="N732" s="399">
        <v>2958</v>
      </c>
      <c r="O732" s="399" t="s">
        <v>1522</v>
      </c>
      <c r="P732" s="398" t="s">
        <v>1554</v>
      </c>
    </row>
    <row r="733" spans="1:16" s="401" customFormat="1" ht="96">
      <c r="A733" s="452">
        <f t="shared" si="32"/>
        <v>730</v>
      </c>
      <c r="B733" s="387">
        <v>46093</v>
      </c>
      <c r="C733" s="388">
        <v>46083</v>
      </c>
      <c r="D733" s="389" t="s">
        <v>248</v>
      </c>
      <c r="E733" s="398" t="s">
        <v>1550</v>
      </c>
      <c r="F733" s="404">
        <v>1761.38</v>
      </c>
      <c r="G733" s="397" t="s">
        <v>1653</v>
      </c>
      <c r="H733" s="389" t="s">
        <v>736</v>
      </c>
      <c r="I733" s="398" t="s">
        <v>686</v>
      </c>
      <c r="J733" s="399" t="s">
        <v>687</v>
      </c>
      <c r="K733" s="390" t="str">
        <f t="shared" si="33"/>
        <v>XXX900500001XX</v>
      </c>
      <c r="L733" s="391" t="s">
        <v>1996</v>
      </c>
      <c r="M733" s="398" t="s">
        <v>719</v>
      </c>
      <c r="N733" s="399">
        <v>2957</v>
      </c>
      <c r="O733" s="399" t="s">
        <v>1520</v>
      </c>
      <c r="P733" s="398" t="s">
        <v>1554</v>
      </c>
    </row>
    <row r="734" spans="1:16" s="401" customFormat="1" ht="36">
      <c r="A734" s="452">
        <f t="shared" si="32"/>
        <v>731</v>
      </c>
      <c r="B734" s="387">
        <v>46093</v>
      </c>
      <c r="C734" s="388">
        <v>46083</v>
      </c>
      <c r="D734" s="389" t="s">
        <v>248</v>
      </c>
      <c r="E734" s="398" t="s">
        <v>589</v>
      </c>
      <c r="F734" s="404">
        <v>523</v>
      </c>
      <c r="G734" s="397" t="s">
        <v>1654</v>
      </c>
      <c r="H734" s="389" t="s">
        <v>736</v>
      </c>
      <c r="I734" s="398" t="s">
        <v>688</v>
      </c>
      <c r="J734" s="399" t="s">
        <v>689</v>
      </c>
      <c r="K734" s="390" t="str">
        <f t="shared" si="33"/>
        <v>XXX016540001XX</v>
      </c>
      <c r="L734" s="391" t="s">
        <v>1996</v>
      </c>
      <c r="M734" s="398" t="s">
        <v>708</v>
      </c>
      <c r="N734" s="399">
        <v>2395</v>
      </c>
      <c r="O734" s="399" t="s">
        <v>1524</v>
      </c>
      <c r="P734" s="398" t="s">
        <v>1553</v>
      </c>
    </row>
    <row r="735" spans="1:16" s="401" customFormat="1" ht="48">
      <c r="A735" s="452">
        <f t="shared" si="32"/>
        <v>732</v>
      </c>
      <c r="B735" s="387">
        <v>46093</v>
      </c>
      <c r="C735" s="388">
        <v>46083</v>
      </c>
      <c r="D735" s="389" t="s">
        <v>248</v>
      </c>
      <c r="E735" s="393" t="s">
        <v>164</v>
      </c>
      <c r="F735" s="404">
        <v>3900.26</v>
      </c>
      <c r="G735" s="397" t="s">
        <v>1655</v>
      </c>
      <c r="H735" s="389" t="s">
        <v>278</v>
      </c>
      <c r="I735" s="398" t="s">
        <v>660</v>
      </c>
      <c r="J735" s="399" t="s">
        <v>661</v>
      </c>
      <c r="K735" s="390" t="str">
        <f t="shared" si="33"/>
        <v>XXX500340001XX</v>
      </c>
      <c r="L735" s="391" t="s">
        <v>1996</v>
      </c>
      <c r="M735" s="398" t="s">
        <v>707</v>
      </c>
      <c r="N735" s="399">
        <v>30</v>
      </c>
      <c r="O735" s="399" t="s">
        <v>1526</v>
      </c>
      <c r="P735" s="398" t="s">
        <v>1554</v>
      </c>
    </row>
    <row r="736" spans="1:16" s="401" customFormat="1" ht="36">
      <c r="A736" s="452">
        <f t="shared" si="32"/>
        <v>733</v>
      </c>
      <c r="B736" s="387">
        <v>46093</v>
      </c>
      <c r="C736" s="388">
        <v>46083</v>
      </c>
      <c r="D736" s="389" t="s">
        <v>248</v>
      </c>
      <c r="E736" s="398" t="s">
        <v>599</v>
      </c>
      <c r="F736" s="404">
        <v>865.2</v>
      </c>
      <c r="G736" s="397" t="s">
        <v>1656</v>
      </c>
      <c r="H736" s="389" t="s">
        <v>736</v>
      </c>
      <c r="I736" s="398" t="s">
        <v>1461</v>
      </c>
      <c r="J736" s="399" t="s">
        <v>1462</v>
      </c>
      <c r="K736" s="390" t="str">
        <f t="shared" si="33"/>
        <v>XXX52485672 XX</v>
      </c>
      <c r="L736" s="391" t="s">
        <v>1996</v>
      </c>
      <c r="M736" s="398" t="s">
        <v>707</v>
      </c>
      <c r="N736" s="399">
        <v>57</v>
      </c>
      <c r="O736" s="399" t="s">
        <v>1526</v>
      </c>
      <c r="P736" s="398" t="s">
        <v>1554</v>
      </c>
    </row>
    <row r="737" spans="1:16" s="401" customFormat="1" ht="60">
      <c r="A737" s="452">
        <f t="shared" si="32"/>
        <v>734</v>
      </c>
      <c r="B737" s="387">
        <v>46093</v>
      </c>
      <c r="C737" s="388">
        <v>46083</v>
      </c>
      <c r="D737" s="389" t="s">
        <v>248</v>
      </c>
      <c r="E737" s="398" t="s">
        <v>592</v>
      </c>
      <c r="F737" s="404">
        <v>506.15</v>
      </c>
      <c r="G737" s="397" t="s">
        <v>1781</v>
      </c>
      <c r="H737" s="389" t="s">
        <v>737</v>
      </c>
      <c r="I737" s="398" t="s">
        <v>1463</v>
      </c>
      <c r="J737" s="399" t="s">
        <v>1464</v>
      </c>
      <c r="K737" s="390" t="str">
        <f t="shared" si="33"/>
        <v>XXX999310001XX</v>
      </c>
      <c r="L737" s="391" t="s">
        <v>1996</v>
      </c>
      <c r="M737" s="398" t="s">
        <v>707</v>
      </c>
      <c r="N737" s="399">
        <v>251</v>
      </c>
      <c r="O737" s="399" t="s">
        <v>1526</v>
      </c>
      <c r="P737" s="398" t="s">
        <v>1554</v>
      </c>
    </row>
    <row r="738" spans="1:16" s="401" customFormat="1" ht="48">
      <c r="A738" s="452">
        <f t="shared" si="32"/>
        <v>735</v>
      </c>
      <c r="B738" s="387">
        <v>46093</v>
      </c>
      <c r="C738" s="388">
        <v>46083</v>
      </c>
      <c r="D738" s="389" t="s">
        <v>248</v>
      </c>
      <c r="E738" s="398" t="s">
        <v>592</v>
      </c>
      <c r="F738" s="404">
        <v>2024.6</v>
      </c>
      <c r="G738" s="397" t="s">
        <v>1657</v>
      </c>
      <c r="H738" s="389" t="s">
        <v>737</v>
      </c>
      <c r="I738" s="398" t="s">
        <v>1463</v>
      </c>
      <c r="J738" s="399" t="s">
        <v>1464</v>
      </c>
      <c r="K738" s="390" t="str">
        <f t="shared" si="33"/>
        <v>XXX999310001XX</v>
      </c>
      <c r="L738" s="391" t="s">
        <v>1996</v>
      </c>
      <c r="M738" s="398" t="s">
        <v>707</v>
      </c>
      <c r="N738" s="399">
        <v>249</v>
      </c>
      <c r="O738" s="399" t="s">
        <v>1522</v>
      </c>
      <c r="P738" s="398" t="s">
        <v>1554</v>
      </c>
    </row>
    <row r="739" spans="1:16" s="401" customFormat="1" ht="36">
      <c r="A739" s="452">
        <f t="shared" si="32"/>
        <v>736</v>
      </c>
      <c r="B739" s="387">
        <v>46093</v>
      </c>
      <c r="C739" s="388">
        <v>46083</v>
      </c>
      <c r="D739" s="389" t="s">
        <v>353</v>
      </c>
      <c r="E739" s="394" t="s">
        <v>153</v>
      </c>
      <c r="F739" s="404">
        <v>15309.12</v>
      </c>
      <c r="G739" s="397" t="s">
        <v>1658</v>
      </c>
      <c r="H739" s="389" t="s">
        <v>280</v>
      </c>
      <c r="I739" s="394" t="s">
        <v>744</v>
      </c>
      <c r="J739" s="455">
        <v>7837375000150</v>
      </c>
      <c r="K739" s="390" t="str">
        <f t="shared" si="33"/>
        <v>XXX737500015XX</v>
      </c>
      <c r="L739" s="391" t="s">
        <v>1996</v>
      </c>
      <c r="M739" s="398" t="s">
        <v>726</v>
      </c>
      <c r="N739" s="399">
        <v>5032026</v>
      </c>
      <c r="O739" s="399" t="s">
        <v>1524</v>
      </c>
      <c r="P739" s="398" t="s">
        <v>1553</v>
      </c>
    </row>
    <row r="740" spans="1:16" s="401" customFormat="1" ht="36">
      <c r="A740" s="452">
        <f t="shared" si="32"/>
        <v>737</v>
      </c>
      <c r="B740" s="387">
        <v>46093</v>
      </c>
      <c r="C740" s="388">
        <v>46083</v>
      </c>
      <c r="D740" s="389" t="s">
        <v>353</v>
      </c>
      <c r="E740" s="394" t="s">
        <v>153</v>
      </c>
      <c r="F740" s="404">
        <v>29470.240000000002</v>
      </c>
      <c r="G740" s="397" t="s">
        <v>1659</v>
      </c>
      <c r="H740" s="389" t="s">
        <v>280</v>
      </c>
      <c r="I740" s="394" t="s">
        <v>744</v>
      </c>
      <c r="J740" s="455">
        <v>7837375000150</v>
      </c>
      <c r="K740" s="390" t="str">
        <f t="shared" si="33"/>
        <v>XXX737500015XX</v>
      </c>
      <c r="L740" s="391" t="s">
        <v>1996</v>
      </c>
      <c r="M740" s="398" t="s">
        <v>726</v>
      </c>
      <c r="N740" s="399">
        <v>6032026</v>
      </c>
      <c r="O740" s="399" t="s">
        <v>1526</v>
      </c>
      <c r="P740" s="398" t="s">
        <v>1553</v>
      </c>
    </row>
    <row r="741" spans="1:16" s="401" customFormat="1" ht="36">
      <c r="A741" s="452">
        <f t="shared" si="32"/>
        <v>738</v>
      </c>
      <c r="B741" s="387">
        <v>46093</v>
      </c>
      <c r="C741" s="388">
        <v>46083</v>
      </c>
      <c r="D741" s="389" t="s">
        <v>248</v>
      </c>
      <c r="E741" s="398" t="s">
        <v>597</v>
      </c>
      <c r="F741" s="404">
        <v>98.9</v>
      </c>
      <c r="G741" s="397" t="s">
        <v>1660</v>
      </c>
      <c r="H741" s="389" t="s">
        <v>278</v>
      </c>
      <c r="I741" s="398" t="s">
        <v>881</v>
      </c>
      <c r="J741" s="399" t="s">
        <v>773</v>
      </c>
      <c r="K741" s="390" t="str">
        <f t="shared" si="33"/>
        <v>XXX000000000XX</v>
      </c>
      <c r="L741" s="391" t="s">
        <v>1996</v>
      </c>
      <c r="M741" s="398" t="s">
        <v>710</v>
      </c>
      <c r="N741" s="399">
        <v>20987</v>
      </c>
      <c r="O741" s="399" t="s">
        <v>1533</v>
      </c>
      <c r="P741" s="398" t="s">
        <v>735</v>
      </c>
    </row>
    <row r="742" spans="1:16" s="401" customFormat="1" ht="36">
      <c r="A742" s="452">
        <f t="shared" si="32"/>
        <v>739</v>
      </c>
      <c r="B742" s="387">
        <v>46093</v>
      </c>
      <c r="C742" s="388">
        <v>46083</v>
      </c>
      <c r="D742" s="389" t="s">
        <v>248</v>
      </c>
      <c r="E742" s="398" t="s">
        <v>607</v>
      </c>
      <c r="F742" s="404">
        <v>42.87</v>
      </c>
      <c r="G742" s="397" t="s">
        <v>1661</v>
      </c>
      <c r="H742" s="389" t="s">
        <v>736</v>
      </c>
      <c r="I742" s="398" t="s">
        <v>881</v>
      </c>
      <c r="J742" s="399" t="s">
        <v>773</v>
      </c>
      <c r="K742" s="390" t="str">
        <f t="shared" si="33"/>
        <v>XXX000000000XX</v>
      </c>
      <c r="L742" s="391" t="s">
        <v>1996</v>
      </c>
      <c r="M742" s="398" t="s">
        <v>710</v>
      </c>
      <c r="N742" s="399">
        <v>285431</v>
      </c>
      <c r="O742" s="399" t="s">
        <v>1533</v>
      </c>
      <c r="P742" s="398" t="s">
        <v>735</v>
      </c>
    </row>
    <row r="743" spans="1:16" s="401" customFormat="1" ht="48">
      <c r="A743" s="452">
        <f t="shared" si="32"/>
        <v>740</v>
      </c>
      <c r="B743" s="387">
        <v>46093</v>
      </c>
      <c r="C743" s="388">
        <v>46083</v>
      </c>
      <c r="D743" s="389" t="s">
        <v>353</v>
      </c>
      <c r="E743" s="398" t="s">
        <v>587</v>
      </c>
      <c r="F743" s="404">
        <v>-2100</v>
      </c>
      <c r="G743" s="397" t="s">
        <v>1662</v>
      </c>
      <c r="H743" s="389" t="s">
        <v>280</v>
      </c>
      <c r="I743" s="394" t="s">
        <v>744</v>
      </c>
      <c r="J743" s="455">
        <v>7837375000150</v>
      </c>
      <c r="K743" s="390" t="str">
        <f t="shared" si="33"/>
        <v>XXX737500015XX</v>
      </c>
      <c r="L743" s="391" t="s">
        <v>1996</v>
      </c>
      <c r="M743" s="398" t="s">
        <v>708</v>
      </c>
      <c r="N743" s="399">
        <v>32026</v>
      </c>
      <c r="O743" s="399" t="s">
        <v>1521</v>
      </c>
      <c r="P743" s="398" t="s">
        <v>1553</v>
      </c>
    </row>
    <row r="744" spans="1:16" s="401" customFormat="1" ht="36">
      <c r="A744" s="452">
        <f t="shared" si="32"/>
        <v>741</v>
      </c>
      <c r="B744" s="387">
        <v>46093</v>
      </c>
      <c r="C744" s="388">
        <v>46083</v>
      </c>
      <c r="D744" s="389" t="s">
        <v>353</v>
      </c>
      <c r="E744" s="394" t="s">
        <v>153</v>
      </c>
      <c r="F744" s="404">
        <v>32278.080000000002</v>
      </c>
      <c r="G744" s="397" t="s">
        <v>821</v>
      </c>
      <c r="H744" s="389" t="s">
        <v>280</v>
      </c>
      <c r="I744" s="394" t="s">
        <v>744</v>
      </c>
      <c r="J744" s="455">
        <v>7837375000150</v>
      </c>
      <c r="K744" s="390" t="str">
        <f t="shared" si="33"/>
        <v>XXX737500015XX</v>
      </c>
      <c r="L744" s="391" t="s">
        <v>1996</v>
      </c>
      <c r="M744" s="398" t="s">
        <v>706</v>
      </c>
      <c r="N744" s="399">
        <v>2057887398</v>
      </c>
      <c r="O744" s="399" t="s">
        <v>1533</v>
      </c>
      <c r="P744" s="398" t="s">
        <v>1553</v>
      </c>
    </row>
    <row r="745" spans="1:16" s="401" customFormat="1" ht="48">
      <c r="A745" s="452">
        <f t="shared" si="32"/>
        <v>742</v>
      </c>
      <c r="B745" s="387">
        <v>46093</v>
      </c>
      <c r="C745" s="388">
        <v>46083</v>
      </c>
      <c r="D745" s="389" t="s">
        <v>248</v>
      </c>
      <c r="E745" s="398" t="s">
        <v>605</v>
      </c>
      <c r="F745" s="404">
        <v>708.84</v>
      </c>
      <c r="G745" s="397" t="s">
        <v>1663</v>
      </c>
      <c r="H745" s="389" t="s">
        <v>278</v>
      </c>
      <c r="I745" s="398" t="s">
        <v>882</v>
      </c>
      <c r="J745" s="399" t="s">
        <v>883</v>
      </c>
      <c r="K745" s="390" t="str">
        <f t="shared" si="33"/>
        <v>XXX559250001XX</v>
      </c>
      <c r="L745" s="391" t="s">
        <v>1996</v>
      </c>
      <c r="M745" s="398" t="s">
        <v>706</v>
      </c>
      <c r="N745" s="399">
        <v>2057887399</v>
      </c>
      <c r="O745" s="399" t="s">
        <v>1533</v>
      </c>
      <c r="P745" s="398" t="s">
        <v>1553</v>
      </c>
    </row>
    <row r="746" spans="1:16" s="401" customFormat="1" ht="36">
      <c r="A746" s="452">
        <f t="shared" si="32"/>
        <v>743</v>
      </c>
      <c r="B746" s="387">
        <v>46093</v>
      </c>
      <c r="C746" s="388">
        <v>46083</v>
      </c>
      <c r="D746" s="389" t="s">
        <v>248</v>
      </c>
      <c r="E746" s="393" t="s">
        <v>164</v>
      </c>
      <c r="F746" s="404">
        <v>182.26</v>
      </c>
      <c r="G746" s="397" t="s">
        <v>1664</v>
      </c>
      <c r="H746" s="389" t="s">
        <v>737</v>
      </c>
      <c r="I746" s="398" t="s">
        <v>1465</v>
      </c>
      <c r="J746" s="399" t="s">
        <v>1466</v>
      </c>
      <c r="K746" s="390" t="str">
        <f t="shared" si="33"/>
        <v>XXX924990001XX</v>
      </c>
      <c r="L746" s="391" t="s">
        <v>1996</v>
      </c>
      <c r="M746" s="398" t="s">
        <v>708</v>
      </c>
      <c r="N746" s="399">
        <v>28</v>
      </c>
      <c r="O746" s="399" t="s">
        <v>1529</v>
      </c>
      <c r="P746" s="398" t="s">
        <v>1553</v>
      </c>
    </row>
    <row r="747" spans="1:16" s="401" customFormat="1" ht="24">
      <c r="A747" s="452">
        <f t="shared" si="32"/>
        <v>744</v>
      </c>
      <c r="B747" s="387">
        <v>46093</v>
      </c>
      <c r="C747" s="388">
        <v>46083</v>
      </c>
      <c r="D747" s="389" t="s">
        <v>166</v>
      </c>
      <c r="E747" s="398" t="s">
        <v>583</v>
      </c>
      <c r="F747" s="404">
        <v>1113.82</v>
      </c>
      <c r="G747" s="397" t="s">
        <v>1665</v>
      </c>
      <c r="H747" s="389" t="s">
        <v>166</v>
      </c>
      <c r="I747" s="398" t="s">
        <v>1467</v>
      </c>
      <c r="J747" s="399" t="s">
        <v>1468</v>
      </c>
      <c r="K747" s="390" t="str">
        <f t="shared" si="33"/>
        <v>XXX87421103 XX</v>
      </c>
      <c r="L747" s="391" t="s">
        <v>1996</v>
      </c>
      <c r="M747" s="398" t="s">
        <v>705</v>
      </c>
      <c r="N747" s="399">
        <v>733</v>
      </c>
      <c r="O747" s="399" t="s">
        <v>1521</v>
      </c>
      <c r="P747" s="398" t="s">
        <v>1557</v>
      </c>
    </row>
    <row r="748" spans="1:16" s="401" customFormat="1" ht="24">
      <c r="A748" s="452">
        <f t="shared" si="32"/>
        <v>745</v>
      </c>
      <c r="B748" s="387">
        <v>46093</v>
      </c>
      <c r="C748" s="388">
        <v>46083</v>
      </c>
      <c r="D748" s="389" t="s">
        <v>166</v>
      </c>
      <c r="E748" s="398" t="s">
        <v>583</v>
      </c>
      <c r="F748" s="404">
        <v>3260.2</v>
      </c>
      <c r="G748" s="397" t="s">
        <v>1666</v>
      </c>
      <c r="H748" s="389" t="s">
        <v>166</v>
      </c>
      <c r="I748" s="398" t="s">
        <v>778</v>
      </c>
      <c r="J748" s="399" t="s">
        <v>779</v>
      </c>
      <c r="K748" s="390" t="str">
        <f t="shared" si="33"/>
        <v>XXX54537663 XX</v>
      </c>
      <c r="L748" s="391" t="s">
        <v>1996</v>
      </c>
      <c r="M748" s="398" t="s">
        <v>705</v>
      </c>
      <c r="N748" s="399">
        <v>733</v>
      </c>
      <c r="O748" s="399" t="s">
        <v>1521</v>
      </c>
      <c r="P748" s="398" t="s">
        <v>1557</v>
      </c>
    </row>
    <row r="749" spans="1:16" s="401" customFormat="1" ht="48">
      <c r="A749" s="452">
        <f t="shared" si="32"/>
        <v>746</v>
      </c>
      <c r="B749" s="387">
        <v>46093</v>
      </c>
      <c r="C749" s="388">
        <v>46083</v>
      </c>
      <c r="D749" s="389" t="s">
        <v>248</v>
      </c>
      <c r="E749" s="398" t="s">
        <v>610</v>
      </c>
      <c r="F749" s="404">
        <v>12.5</v>
      </c>
      <c r="G749" s="397" t="s">
        <v>1667</v>
      </c>
      <c r="H749" s="389" t="s">
        <v>736</v>
      </c>
      <c r="I749" s="398" t="s">
        <v>881</v>
      </c>
      <c r="J749" s="399" t="s">
        <v>773</v>
      </c>
      <c r="K749" s="390" t="str">
        <f t="shared" si="33"/>
        <v>XXX000000000XX</v>
      </c>
      <c r="L749" s="391" t="s">
        <v>1996</v>
      </c>
      <c r="M749" s="398" t="s">
        <v>710</v>
      </c>
      <c r="N749" s="399">
        <v>74758</v>
      </c>
      <c r="O749" s="399" t="s">
        <v>1533</v>
      </c>
      <c r="P749" s="398" t="s">
        <v>735</v>
      </c>
    </row>
    <row r="750" spans="1:16" s="401" customFormat="1" ht="24">
      <c r="A750" s="452">
        <f t="shared" si="32"/>
        <v>747</v>
      </c>
      <c r="B750" s="387">
        <v>46093</v>
      </c>
      <c r="C750" s="388">
        <v>46083</v>
      </c>
      <c r="D750" s="389" t="s">
        <v>248</v>
      </c>
      <c r="E750" s="398" t="s">
        <v>599</v>
      </c>
      <c r="F750" s="404">
        <v>-865.2</v>
      </c>
      <c r="G750" s="397" t="s">
        <v>1668</v>
      </c>
      <c r="H750" s="389" t="s">
        <v>736</v>
      </c>
      <c r="I750" s="398" t="s">
        <v>1461</v>
      </c>
      <c r="J750" s="399" t="s">
        <v>1462</v>
      </c>
      <c r="K750" s="390" t="str">
        <f t="shared" si="33"/>
        <v>XXX52485672 XX</v>
      </c>
      <c r="L750" s="391" t="s">
        <v>1996</v>
      </c>
      <c r="M750" s="398" t="s">
        <v>707</v>
      </c>
      <c r="N750" s="399">
        <v>57</v>
      </c>
      <c r="O750" s="399" t="s">
        <v>1526</v>
      </c>
      <c r="P750" s="398" t="s">
        <v>1554</v>
      </c>
    </row>
    <row r="751" spans="1:16" s="401" customFormat="1" ht="48">
      <c r="A751" s="452">
        <f t="shared" si="32"/>
        <v>748</v>
      </c>
      <c r="B751" s="387">
        <v>46093</v>
      </c>
      <c r="C751" s="388">
        <v>46083</v>
      </c>
      <c r="D751" s="389" t="s">
        <v>248</v>
      </c>
      <c r="E751" s="398" t="s">
        <v>1552</v>
      </c>
      <c r="F751" s="404">
        <v>1231.08</v>
      </c>
      <c r="G751" s="397" t="s">
        <v>1871</v>
      </c>
      <c r="H751" s="389" t="s">
        <v>736</v>
      </c>
      <c r="I751" s="398" t="s">
        <v>635</v>
      </c>
      <c r="J751" s="399" t="s">
        <v>636</v>
      </c>
      <c r="K751" s="390" t="str">
        <f t="shared" si="33"/>
        <v>XXX153830001XX</v>
      </c>
      <c r="L751" s="391" t="s">
        <v>1996</v>
      </c>
      <c r="M751" s="398" t="s">
        <v>712</v>
      </c>
      <c r="N751" s="399">
        <v>572327648</v>
      </c>
      <c r="O751" s="399" t="s">
        <v>1533</v>
      </c>
      <c r="P751" s="398" t="s">
        <v>1554</v>
      </c>
    </row>
    <row r="752" spans="1:16" s="401" customFormat="1" ht="48">
      <c r="A752" s="452">
        <f t="shared" si="32"/>
        <v>749</v>
      </c>
      <c r="B752" s="387">
        <v>46093</v>
      </c>
      <c r="C752" s="388">
        <v>46083</v>
      </c>
      <c r="D752" s="389" t="s">
        <v>248</v>
      </c>
      <c r="E752" s="398" t="s">
        <v>1552</v>
      </c>
      <c r="F752" s="404">
        <v>7241.66</v>
      </c>
      <c r="G752" s="397" t="s">
        <v>1930</v>
      </c>
      <c r="H752" s="389" t="s">
        <v>736</v>
      </c>
      <c r="I752" s="398" t="s">
        <v>668</v>
      </c>
      <c r="J752" s="399" t="s">
        <v>669</v>
      </c>
      <c r="K752" s="390" t="str">
        <f t="shared" si="33"/>
        <v>XXX077460001XX</v>
      </c>
      <c r="L752" s="391" t="s">
        <v>1996</v>
      </c>
      <c r="M752" s="398" t="s">
        <v>1545</v>
      </c>
      <c r="N752" s="399">
        <v>572327648</v>
      </c>
      <c r="O752" s="399" t="s">
        <v>1533</v>
      </c>
      <c r="P752" s="398" t="s">
        <v>1554</v>
      </c>
    </row>
    <row r="753" spans="1:16" s="401" customFormat="1" ht="48">
      <c r="A753" s="452">
        <f t="shared" si="32"/>
        <v>750</v>
      </c>
      <c r="B753" s="387">
        <v>46093</v>
      </c>
      <c r="C753" s="388">
        <v>46083</v>
      </c>
      <c r="D753" s="389" t="s">
        <v>248</v>
      </c>
      <c r="E753" s="398" t="s">
        <v>1552</v>
      </c>
      <c r="F753" s="404">
        <v>768.49</v>
      </c>
      <c r="G753" s="397" t="s">
        <v>1945</v>
      </c>
      <c r="H753" s="389" t="s">
        <v>736</v>
      </c>
      <c r="I753" s="398" t="s">
        <v>668</v>
      </c>
      <c r="J753" s="399" t="s">
        <v>669</v>
      </c>
      <c r="K753" s="390" t="str">
        <f t="shared" si="33"/>
        <v>XXX077460001XX</v>
      </c>
      <c r="L753" s="391" t="s">
        <v>1996</v>
      </c>
      <c r="M753" s="398" t="s">
        <v>1546</v>
      </c>
      <c r="N753" s="399">
        <v>572327648</v>
      </c>
      <c r="O753" s="399" t="s">
        <v>1533</v>
      </c>
      <c r="P753" s="398" t="s">
        <v>1554</v>
      </c>
    </row>
    <row r="754" spans="1:16" s="401" customFormat="1" ht="48">
      <c r="A754" s="452">
        <f t="shared" si="32"/>
        <v>751</v>
      </c>
      <c r="B754" s="387">
        <v>46093</v>
      </c>
      <c r="C754" s="388">
        <v>46083</v>
      </c>
      <c r="D754" s="389" t="s">
        <v>248</v>
      </c>
      <c r="E754" s="398" t="s">
        <v>1552</v>
      </c>
      <c r="F754" s="404">
        <v>3539.73</v>
      </c>
      <c r="G754" s="397" t="s">
        <v>1872</v>
      </c>
      <c r="H754" s="389" t="s">
        <v>736</v>
      </c>
      <c r="I754" s="398" t="s">
        <v>668</v>
      </c>
      <c r="J754" s="399" t="s">
        <v>669</v>
      </c>
      <c r="K754" s="390" t="str">
        <f t="shared" si="33"/>
        <v>XXX077460001XX</v>
      </c>
      <c r="L754" s="391" t="s">
        <v>1996</v>
      </c>
      <c r="M754" s="398" t="s">
        <v>1547</v>
      </c>
      <c r="N754" s="399">
        <v>572327648</v>
      </c>
      <c r="O754" s="399" t="s">
        <v>1533</v>
      </c>
      <c r="P754" s="398" t="s">
        <v>1554</v>
      </c>
    </row>
    <row r="755" spans="1:16" s="401" customFormat="1" ht="48">
      <c r="A755" s="452">
        <f t="shared" si="32"/>
        <v>752</v>
      </c>
      <c r="B755" s="387">
        <v>46093</v>
      </c>
      <c r="C755" s="388">
        <v>46083</v>
      </c>
      <c r="D755" s="389" t="s">
        <v>248</v>
      </c>
      <c r="E755" s="398" t="s">
        <v>1552</v>
      </c>
      <c r="F755" s="404">
        <v>41036.06</v>
      </c>
      <c r="G755" s="397" t="s">
        <v>1669</v>
      </c>
      <c r="H755" s="389" t="s">
        <v>736</v>
      </c>
      <c r="I755" s="398" t="s">
        <v>1469</v>
      </c>
      <c r="J755" s="399" t="s">
        <v>770</v>
      </c>
      <c r="K755" s="390" t="str">
        <f t="shared" si="33"/>
        <v>XXX00000000 XX</v>
      </c>
      <c r="L755" s="391" t="s">
        <v>1996</v>
      </c>
      <c r="M755" s="398" t="s">
        <v>727</v>
      </c>
      <c r="N755" s="399">
        <v>572327648</v>
      </c>
      <c r="O755" s="399" t="s">
        <v>1533</v>
      </c>
      <c r="P755" s="398" t="s">
        <v>1554</v>
      </c>
    </row>
    <row r="756" spans="1:16" s="401" customFormat="1" ht="48">
      <c r="A756" s="452">
        <f t="shared" si="32"/>
        <v>753</v>
      </c>
      <c r="B756" s="387">
        <v>46093</v>
      </c>
      <c r="C756" s="388">
        <v>46083</v>
      </c>
      <c r="D756" s="389" t="s">
        <v>248</v>
      </c>
      <c r="E756" s="398" t="s">
        <v>1552</v>
      </c>
      <c r="F756" s="404">
        <v>1436.26</v>
      </c>
      <c r="G756" s="397" t="s">
        <v>1669</v>
      </c>
      <c r="H756" s="389" t="s">
        <v>736</v>
      </c>
      <c r="I756" s="398" t="s">
        <v>771</v>
      </c>
      <c r="J756" s="399" t="s">
        <v>772</v>
      </c>
      <c r="K756" s="390" t="str">
        <f t="shared" si="33"/>
        <v>XXX000005138XX</v>
      </c>
      <c r="L756" s="391" t="s">
        <v>1996</v>
      </c>
      <c r="M756" s="398" t="s">
        <v>1548</v>
      </c>
      <c r="N756" s="399">
        <v>572327648</v>
      </c>
      <c r="O756" s="399" t="s">
        <v>1533</v>
      </c>
      <c r="P756" s="398" t="s">
        <v>1554</v>
      </c>
    </row>
    <row r="757" spans="1:16" s="401" customFormat="1" ht="48">
      <c r="A757" s="452">
        <f t="shared" si="32"/>
        <v>754</v>
      </c>
      <c r="B757" s="387">
        <v>46093</v>
      </c>
      <c r="C757" s="388">
        <v>46083</v>
      </c>
      <c r="D757" s="389" t="s">
        <v>248</v>
      </c>
      <c r="E757" s="398" t="s">
        <v>1552</v>
      </c>
      <c r="F757" s="404">
        <v>550</v>
      </c>
      <c r="G757" s="397" t="s">
        <v>1669</v>
      </c>
      <c r="H757" s="389" t="s">
        <v>736</v>
      </c>
      <c r="I757" s="398" t="s">
        <v>771</v>
      </c>
      <c r="J757" s="399" t="s">
        <v>772</v>
      </c>
      <c r="K757" s="390" t="str">
        <f t="shared" si="33"/>
        <v>XXX000005138XX</v>
      </c>
      <c r="L757" s="391" t="s">
        <v>1996</v>
      </c>
      <c r="M757" s="398" t="s">
        <v>1549</v>
      </c>
      <c r="N757" s="399">
        <v>572327648</v>
      </c>
      <c r="O757" s="399" t="s">
        <v>1533</v>
      </c>
      <c r="P757" s="398" t="s">
        <v>1554</v>
      </c>
    </row>
    <row r="758" spans="1:16" s="401" customFormat="1" ht="84">
      <c r="A758" s="452">
        <f t="shared" si="32"/>
        <v>755</v>
      </c>
      <c r="B758" s="387">
        <v>46093</v>
      </c>
      <c r="C758" s="388">
        <v>46083</v>
      </c>
      <c r="D758" s="389" t="s">
        <v>248</v>
      </c>
      <c r="E758" s="398" t="s">
        <v>598</v>
      </c>
      <c r="F758" s="404">
        <v>2100</v>
      </c>
      <c r="G758" s="397" t="s">
        <v>1670</v>
      </c>
      <c r="H758" s="389" t="s">
        <v>736</v>
      </c>
      <c r="I758" s="398" t="s">
        <v>1470</v>
      </c>
      <c r="J758" s="399" t="s">
        <v>1471</v>
      </c>
      <c r="K758" s="390" t="str">
        <f t="shared" si="33"/>
        <v>XXX40038671 XX</v>
      </c>
      <c r="L758" s="391" t="s">
        <v>1996</v>
      </c>
      <c r="M758" s="398" t="s">
        <v>719</v>
      </c>
      <c r="N758" s="399">
        <v>67</v>
      </c>
      <c r="O758" s="399" t="s">
        <v>1529</v>
      </c>
      <c r="P758" s="398" t="s">
        <v>1554</v>
      </c>
    </row>
    <row r="759" spans="1:16" s="401" customFormat="1" ht="48">
      <c r="A759" s="452">
        <f t="shared" si="32"/>
        <v>756</v>
      </c>
      <c r="B759" s="387">
        <v>46093</v>
      </c>
      <c r="C759" s="388">
        <v>46083</v>
      </c>
      <c r="D759" s="389" t="s">
        <v>248</v>
      </c>
      <c r="E759" s="398" t="s">
        <v>597</v>
      </c>
      <c r="F759" s="404">
        <v>3960</v>
      </c>
      <c r="G759" s="397" t="s">
        <v>1671</v>
      </c>
      <c r="H759" s="389" t="s">
        <v>738</v>
      </c>
      <c r="I759" s="398" t="s">
        <v>1472</v>
      </c>
      <c r="J759" s="399" t="s">
        <v>1473</v>
      </c>
      <c r="K759" s="390" t="str">
        <f t="shared" si="33"/>
        <v>XXX735210001XX</v>
      </c>
      <c r="L759" s="391" t="s">
        <v>1996</v>
      </c>
      <c r="M759" s="398" t="s">
        <v>706</v>
      </c>
      <c r="N759" s="399">
        <v>59110</v>
      </c>
      <c r="O759" s="399" t="s">
        <v>1533</v>
      </c>
      <c r="P759" s="398" t="s">
        <v>1553</v>
      </c>
    </row>
    <row r="760" spans="1:16" s="401" customFormat="1" ht="36">
      <c r="A760" s="452">
        <f t="shared" si="32"/>
        <v>757</v>
      </c>
      <c r="B760" s="387">
        <v>46094</v>
      </c>
      <c r="C760" s="388">
        <v>46083</v>
      </c>
      <c r="D760" s="389" t="s">
        <v>248</v>
      </c>
      <c r="E760" s="398" t="s">
        <v>599</v>
      </c>
      <c r="F760" s="404">
        <v>408.44</v>
      </c>
      <c r="G760" s="397" t="s">
        <v>1656</v>
      </c>
      <c r="H760" s="389" t="s">
        <v>736</v>
      </c>
      <c r="I760" s="398" t="s">
        <v>1461</v>
      </c>
      <c r="J760" s="399" t="s">
        <v>1462</v>
      </c>
      <c r="K760" s="390" t="str">
        <f t="shared" si="33"/>
        <v>XXX52485672 XX</v>
      </c>
      <c r="L760" s="391" t="s">
        <v>1996</v>
      </c>
      <c r="M760" s="398" t="s">
        <v>708</v>
      </c>
      <c r="N760" s="399">
        <v>56</v>
      </c>
      <c r="O760" s="399" t="s">
        <v>1526</v>
      </c>
      <c r="P760" s="398" t="s">
        <v>1553</v>
      </c>
    </row>
    <row r="761" spans="1:16" s="401" customFormat="1" ht="24">
      <c r="A761" s="452">
        <f t="shared" si="32"/>
        <v>758</v>
      </c>
      <c r="B761" s="387">
        <v>46094</v>
      </c>
      <c r="C761" s="388">
        <v>46083</v>
      </c>
      <c r="D761" s="389" t="s">
        <v>248</v>
      </c>
      <c r="E761" s="398" t="s">
        <v>599</v>
      </c>
      <c r="F761" s="404">
        <v>865.2</v>
      </c>
      <c r="G761" s="397" t="s">
        <v>1672</v>
      </c>
      <c r="H761" s="389" t="s">
        <v>736</v>
      </c>
      <c r="I761" s="398" t="s">
        <v>1461</v>
      </c>
      <c r="J761" s="399" t="s">
        <v>1462</v>
      </c>
      <c r="K761" s="390" t="str">
        <f t="shared" si="33"/>
        <v>XXX52485672 XX</v>
      </c>
      <c r="L761" s="391" t="s">
        <v>1996</v>
      </c>
      <c r="M761" s="398" t="s">
        <v>707</v>
      </c>
      <c r="N761" s="399">
        <v>57</v>
      </c>
      <c r="O761" s="399" t="s">
        <v>1526</v>
      </c>
      <c r="P761" s="398" t="s">
        <v>1554</v>
      </c>
    </row>
    <row r="762" spans="1:16" s="401" customFormat="1" ht="48">
      <c r="A762" s="452">
        <f t="shared" si="32"/>
        <v>759</v>
      </c>
      <c r="B762" s="387">
        <v>46094</v>
      </c>
      <c r="C762" s="388">
        <v>46083</v>
      </c>
      <c r="D762" s="389" t="s">
        <v>353</v>
      </c>
      <c r="E762" s="394" t="s">
        <v>153</v>
      </c>
      <c r="F762" s="404">
        <v>1300</v>
      </c>
      <c r="G762" s="397" t="s">
        <v>1397</v>
      </c>
      <c r="H762" s="389" t="s">
        <v>280</v>
      </c>
      <c r="I762" s="394" t="s">
        <v>744</v>
      </c>
      <c r="J762" s="455">
        <v>7837375000150</v>
      </c>
      <c r="K762" s="390" t="str">
        <f t="shared" si="33"/>
        <v>XXX737500015XX</v>
      </c>
      <c r="L762" s="391" t="s">
        <v>1996</v>
      </c>
      <c r="M762" s="398" t="s">
        <v>708</v>
      </c>
      <c r="N762" s="399">
        <v>10</v>
      </c>
      <c r="O762" s="399" t="s">
        <v>1532</v>
      </c>
      <c r="P762" s="398" t="s">
        <v>1553</v>
      </c>
    </row>
    <row r="763" spans="1:16" s="401" customFormat="1" ht="36">
      <c r="A763" s="452">
        <f t="shared" si="32"/>
        <v>760</v>
      </c>
      <c r="B763" s="387">
        <v>46094</v>
      </c>
      <c r="C763" s="388">
        <v>46083</v>
      </c>
      <c r="D763" s="389" t="s">
        <v>353</v>
      </c>
      <c r="E763" s="394" t="s">
        <v>153</v>
      </c>
      <c r="F763" s="404">
        <v>200</v>
      </c>
      <c r="G763" s="397" t="s">
        <v>1673</v>
      </c>
      <c r="H763" s="389" t="s">
        <v>280</v>
      </c>
      <c r="I763" s="394" t="s">
        <v>744</v>
      </c>
      <c r="J763" s="455">
        <v>7837375000150</v>
      </c>
      <c r="K763" s="390" t="str">
        <f t="shared" si="33"/>
        <v>XXX737500015XX</v>
      </c>
      <c r="L763" s="391" t="s">
        <v>1996</v>
      </c>
      <c r="M763" s="398" t="s">
        <v>708</v>
      </c>
      <c r="N763" s="399">
        <v>10</v>
      </c>
      <c r="O763" s="399" t="s">
        <v>1532</v>
      </c>
      <c r="P763" s="398" t="s">
        <v>1553</v>
      </c>
    </row>
    <row r="764" spans="1:16" s="401" customFormat="1" ht="36">
      <c r="A764" s="452">
        <f t="shared" si="32"/>
        <v>761</v>
      </c>
      <c r="B764" s="387">
        <v>46094</v>
      </c>
      <c r="C764" s="388">
        <v>46024</v>
      </c>
      <c r="D764" s="389" t="s">
        <v>248</v>
      </c>
      <c r="E764" s="393" t="s">
        <v>142</v>
      </c>
      <c r="F764" s="404">
        <v>136184.4</v>
      </c>
      <c r="G764" s="397" t="s">
        <v>1674</v>
      </c>
      <c r="H764" s="389" t="s">
        <v>738</v>
      </c>
      <c r="I764" s="398" t="s">
        <v>653</v>
      </c>
      <c r="J764" s="399" t="s">
        <v>654</v>
      </c>
      <c r="K764" s="390" t="str">
        <f t="shared" si="33"/>
        <v>XXX682190001XX</v>
      </c>
      <c r="L764" s="391" t="s">
        <v>1996</v>
      </c>
      <c r="M764" s="398" t="s">
        <v>708</v>
      </c>
      <c r="N764" s="399">
        <v>74788</v>
      </c>
      <c r="O764" s="399" t="s">
        <v>1184</v>
      </c>
      <c r="P764" s="398" t="s">
        <v>1555</v>
      </c>
    </row>
    <row r="765" spans="1:16" s="401" customFormat="1" ht="36">
      <c r="A765" s="452">
        <f t="shared" si="32"/>
        <v>762</v>
      </c>
      <c r="B765" s="387">
        <v>46094</v>
      </c>
      <c r="C765" s="388">
        <v>46024</v>
      </c>
      <c r="D765" s="389" t="s">
        <v>248</v>
      </c>
      <c r="E765" s="393" t="s">
        <v>142</v>
      </c>
      <c r="F765" s="404">
        <v>1693.98</v>
      </c>
      <c r="G765" s="397" t="s">
        <v>1675</v>
      </c>
      <c r="H765" s="389" t="s">
        <v>738</v>
      </c>
      <c r="I765" s="398" t="s">
        <v>653</v>
      </c>
      <c r="J765" s="399" t="s">
        <v>654</v>
      </c>
      <c r="K765" s="390" t="str">
        <f t="shared" si="33"/>
        <v>XXX682190001XX</v>
      </c>
      <c r="L765" s="391" t="s">
        <v>1996</v>
      </c>
      <c r="M765" s="398" t="s">
        <v>708</v>
      </c>
      <c r="N765" s="399">
        <v>74788</v>
      </c>
      <c r="O765" s="399" t="s">
        <v>1184</v>
      </c>
      <c r="P765" s="398" t="s">
        <v>1555</v>
      </c>
    </row>
    <row r="766" spans="1:16" s="401" customFormat="1" ht="36">
      <c r="A766" s="452">
        <f t="shared" si="32"/>
        <v>763</v>
      </c>
      <c r="B766" s="387">
        <v>46094</v>
      </c>
      <c r="C766" s="388">
        <v>46024</v>
      </c>
      <c r="D766" s="389" t="s">
        <v>248</v>
      </c>
      <c r="E766" s="393" t="s">
        <v>142</v>
      </c>
      <c r="F766" s="404">
        <v>55149.48</v>
      </c>
      <c r="G766" s="397" t="s">
        <v>1676</v>
      </c>
      <c r="H766" s="389" t="s">
        <v>738</v>
      </c>
      <c r="I766" s="398" t="s">
        <v>653</v>
      </c>
      <c r="J766" s="399" t="s">
        <v>654</v>
      </c>
      <c r="K766" s="390" t="str">
        <f t="shared" si="33"/>
        <v>XXX682190001XX</v>
      </c>
      <c r="L766" s="391" t="s">
        <v>1996</v>
      </c>
      <c r="M766" s="398" t="s">
        <v>708</v>
      </c>
      <c r="N766" s="399">
        <v>74788</v>
      </c>
      <c r="O766" s="399" t="s">
        <v>1184</v>
      </c>
      <c r="P766" s="398" t="s">
        <v>1555</v>
      </c>
    </row>
    <row r="767" spans="1:16" s="401" customFormat="1" ht="36">
      <c r="A767" s="452">
        <f t="shared" si="32"/>
        <v>764</v>
      </c>
      <c r="B767" s="387">
        <v>46094</v>
      </c>
      <c r="C767" s="388">
        <v>46024</v>
      </c>
      <c r="D767" s="389" t="s">
        <v>248</v>
      </c>
      <c r="E767" s="393" t="s">
        <v>142</v>
      </c>
      <c r="F767" s="404">
        <v>32577.57</v>
      </c>
      <c r="G767" s="397" t="s">
        <v>1677</v>
      </c>
      <c r="H767" s="389" t="s">
        <v>738</v>
      </c>
      <c r="I767" s="398" t="s">
        <v>653</v>
      </c>
      <c r="J767" s="399" t="s">
        <v>654</v>
      </c>
      <c r="K767" s="390" t="str">
        <f t="shared" ref="K767:K810" si="34">IF(J767="","",IF(LEN(J767)&gt;14,IF(ISBLANK(J767),"",J767),REPLACE(REPLACE(J767,1,3,"XXX"),13,2,"XX")))</f>
        <v>XXX682190001XX</v>
      </c>
      <c r="L767" s="391" t="s">
        <v>1996</v>
      </c>
      <c r="M767" s="398" t="s">
        <v>708</v>
      </c>
      <c r="N767" s="399">
        <v>74788</v>
      </c>
      <c r="O767" s="399" t="s">
        <v>1184</v>
      </c>
      <c r="P767" s="398" t="s">
        <v>1555</v>
      </c>
    </row>
    <row r="768" spans="1:16" s="401" customFormat="1" ht="36">
      <c r="A768" s="452">
        <f t="shared" si="32"/>
        <v>765</v>
      </c>
      <c r="B768" s="387">
        <v>46094</v>
      </c>
      <c r="C768" s="388">
        <v>46024</v>
      </c>
      <c r="D768" s="389" t="s">
        <v>248</v>
      </c>
      <c r="E768" s="393" t="s">
        <v>142</v>
      </c>
      <c r="F768" s="404">
        <v>17460.25</v>
      </c>
      <c r="G768" s="397" t="s">
        <v>1678</v>
      </c>
      <c r="H768" s="389" t="s">
        <v>738</v>
      </c>
      <c r="I768" s="398" t="s">
        <v>653</v>
      </c>
      <c r="J768" s="399" t="s">
        <v>654</v>
      </c>
      <c r="K768" s="390" t="str">
        <f t="shared" si="34"/>
        <v>XXX682190001XX</v>
      </c>
      <c r="L768" s="391" t="s">
        <v>1996</v>
      </c>
      <c r="M768" s="398" t="s">
        <v>708</v>
      </c>
      <c r="N768" s="399">
        <v>74788</v>
      </c>
      <c r="O768" s="399" t="s">
        <v>1184</v>
      </c>
      <c r="P768" s="398" t="s">
        <v>1555</v>
      </c>
    </row>
    <row r="769" spans="1:16" s="401" customFormat="1" ht="36">
      <c r="A769" s="452">
        <f t="shared" si="32"/>
        <v>766</v>
      </c>
      <c r="B769" s="387">
        <v>46094</v>
      </c>
      <c r="C769" s="388">
        <v>46024</v>
      </c>
      <c r="D769" s="389" t="s">
        <v>248</v>
      </c>
      <c r="E769" s="393" t="s">
        <v>142</v>
      </c>
      <c r="F769" s="404">
        <v>2214.15</v>
      </c>
      <c r="G769" s="397" t="s">
        <v>1678</v>
      </c>
      <c r="H769" s="389" t="s">
        <v>738</v>
      </c>
      <c r="I769" s="398" t="s">
        <v>653</v>
      </c>
      <c r="J769" s="399" t="s">
        <v>654</v>
      </c>
      <c r="K769" s="390" t="str">
        <f t="shared" si="34"/>
        <v>XXX682190001XX</v>
      </c>
      <c r="L769" s="391" t="s">
        <v>1996</v>
      </c>
      <c r="M769" s="398" t="s">
        <v>708</v>
      </c>
      <c r="N769" s="399">
        <v>74788</v>
      </c>
      <c r="O769" s="399" t="s">
        <v>1184</v>
      </c>
      <c r="P769" s="398" t="s">
        <v>1555</v>
      </c>
    </row>
    <row r="770" spans="1:16" s="401" customFormat="1" ht="24">
      <c r="A770" s="452">
        <f t="shared" si="32"/>
        <v>767</v>
      </c>
      <c r="B770" s="387">
        <v>46094</v>
      </c>
      <c r="C770" s="388">
        <v>46083</v>
      </c>
      <c r="D770" s="389" t="s">
        <v>248</v>
      </c>
      <c r="E770" s="398" t="s">
        <v>592</v>
      </c>
      <c r="F770" s="404">
        <v>13.58</v>
      </c>
      <c r="G770" s="397" t="s">
        <v>1679</v>
      </c>
      <c r="H770" s="389" t="s">
        <v>737</v>
      </c>
      <c r="I770" s="398" t="s">
        <v>881</v>
      </c>
      <c r="J770" s="399" t="s">
        <v>773</v>
      </c>
      <c r="K770" s="390" t="str">
        <f t="shared" si="34"/>
        <v>XXX000000000XX</v>
      </c>
      <c r="L770" s="391" t="s">
        <v>1996</v>
      </c>
      <c r="M770" s="398" t="s">
        <v>710</v>
      </c>
      <c r="N770" s="399">
        <v>2011</v>
      </c>
      <c r="O770" s="399" t="s">
        <v>1534</v>
      </c>
      <c r="P770" s="398" t="s">
        <v>735</v>
      </c>
    </row>
    <row r="771" spans="1:16" s="401" customFormat="1" ht="36">
      <c r="A771" s="452">
        <f t="shared" si="32"/>
        <v>768</v>
      </c>
      <c r="B771" s="387">
        <v>46097</v>
      </c>
      <c r="C771" s="388">
        <v>46055</v>
      </c>
      <c r="D771" s="389" t="s">
        <v>248</v>
      </c>
      <c r="E771" s="398" t="s">
        <v>582</v>
      </c>
      <c r="F771" s="404">
        <v>8317.24</v>
      </c>
      <c r="G771" s="397" t="s">
        <v>1680</v>
      </c>
      <c r="H771" s="389" t="s">
        <v>737</v>
      </c>
      <c r="I771" s="398" t="s">
        <v>696</v>
      </c>
      <c r="J771" s="399" t="s">
        <v>697</v>
      </c>
      <c r="K771" s="390" t="str">
        <f t="shared" si="34"/>
        <v>XXX702470001XX</v>
      </c>
      <c r="L771" s="391" t="s">
        <v>1996</v>
      </c>
      <c r="M771" s="398" t="s">
        <v>704</v>
      </c>
      <c r="N771" s="399">
        <v>33</v>
      </c>
      <c r="O771" s="399" t="s">
        <v>1195</v>
      </c>
      <c r="P771" s="398" t="s">
        <v>1553</v>
      </c>
    </row>
    <row r="772" spans="1:16" s="401" customFormat="1" ht="36">
      <c r="A772" s="452">
        <f t="shared" ref="A772:A835" si="35">IF(B772="","",ROW()-ROW($A$3))</f>
        <v>769</v>
      </c>
      <c r="B772" s="387">
        <v>46097</v>
      </c>
      <c r="C772" s="388">
        <v>46055</v>
      </c>
      <c r="D772" s="389" t="s">
        <v>166</v>
      </c>
      <c r="E772" s="398" t="s">
        <v>1217</v>
      </c>
      <c r="F772" s="404">
        <v>4121.96</v>
      </c>
      <c r="G772" s="397" t="s">
        <v>1681</v>
      </c>
      <c r="H772" s="389" t="s">
        <v>166</v>
      </c>
      <c r="I772" s="398" t="s">
        <v>1129</v>
      </c>
      <c r="J772" s="399" t="s">
        <v>1130</v>
      </c>
      <c r="K772" s="390" t="str">
        <f t="shared" si="34"/>
        <v>XXX860740001XX</v>
      </c>
      <c r="L772" s="391" t="s">
        <v>1996</v>
      </c>
      <c r="M772" s="398" t="s">
        <v>704</v>
      </c>
      <c r="N772" s="399">
        <v>263979582</v>
      </c>
      <c r="O772" s="399" t="s">
        <v>1519</v>
      </c>
      <c r="P772" s="398" t="s">
        <v>1553</v>
      </c>
    </row>
    <row r="773" spans="1:16" s="401" customFormat="1" ht="24">
      <c r="A773" s="452">
        <f t="shared" si="35"/>
        <v>770</v>
      </c>
      <c r="B773" s="387">
        <v>46097</v>
      </c>
      <c r="C773" s="388">
        <v>46055</v>
      </c>
      <c r="D773" s="389" t="s">
        <v>166</v>
      </c>
      <c r="E773" s="398" t="s">
        <v>603</v>
      </c>
      <c r="F773" s="404">
        <v>113485.42</v>
      </c>
      <c r="G773" s="397" t="s">
        <v>1613</v>
      </c>
      <c r="H773" s="389" t="s">
        <v>166</v>
      </c>
      <c r="I773" s="398" t="s">
        <v>655</v>
      </c>
      <c r="J773" s="399" t="s">
        <v>656</v>
      </c>
      <c r="K773" s="390" t="str">
        <f t="shared" si="34"/>
        <v>XXX131780001XX</v>
      </c>
      <c r="L773" s="391" t="s">
        <v>1996</v>
      </c>
      <c r="M773" s="398" t="s">
        <v>704</v>
      </c>
      <c r="N773" s="399">
        <v>2026164511</v>
      </c>
      <c r="O773" s="399" t="s">
        <v>1191</v>
      </c>
      <c r="P773" s="398" t="s">
        <v>1555</v>
      </c>
    </row>
    <row r="774" spans="1:16" s="401" customFormat="1" ht="24">
      <c r="A774" s="452">
        <f t="shared" si="35"/>
        <v>771</v>
      </c>
      <c r="B774" s="387">
        <v>46097</v>
      </c>
      <c r="C774" s="388">
        <v>46055</v>
      </c>
      <c r="D774" s="389" t="s">
        <v>166</v>
      </c>
      <c r="E774" s="398" t="s">
        <v>603</v>
      </c>
      <c r="F774" s="404">
        <v>8825.0300000000007</v>
      </c>
      <c r="G774" s="397" t="s">
        <v>1613</v>
      </c>
      <c r="H774" s="389" t="s">
        <v>166</v>
      </c>
      <c r="I774" s="398" t="s">
        <v>657</v>
      </c>
      <c r="J774" s="399" t="s">
        <v>656</v>
      </c>
      <c r="K774" s="390" t="str">
        <f t="shared" si="34"/>
        <v>XXX131780001XX</v>
      </c>
      <c r="L774" s="391" t="s">
        <v>1996</v>
      </c>
      <c r="M774" s="398" t="s">
        <v>704</v>
      </c>
      <c r="N774" s="399">
        <v>2026115050</v>
      </c>
      <c r="O774" s="399" t="s">
        <v>1181</v>
      </c>
      <c r="P774" s="398" t="s">
        <v>1555</v>
      </c>
    </row>
    <row r="775" spans="1:16" s="401" customFormat="1" ht="36">
      <c r="A775" s="452">
        <f t="shared" si="35"/>
        <v>772</v>
      </c>
      <c r="B775" s="387">
        <v>46098</v>
      </c>
      <c r="C775" s="388">
        <v>46055</v>
      </c>
      <c r="D775" s="389" t="s">
        <v>248</v>
      </c>
      <c r="E775" s="393" t="s">
        <v>151</v>
      </c>
      <c r="F775" s="404">
        <v>33.92</v>
      </c>
      <c r="G775" s="397" t="s">
        <v>1682</v>
      </c>
      <c r="H775" s="389" t="s">
        <v>278</v>
      </c>
      <c r="I775" s="398" t="s">
        <v>641</v>
      </c>
      <c r="J775" s="399" t="s">
        <v>642</v>
      </c>
      <c r="K775" s="390" t="str">
        <f t="shared" si="34"/>
        <v>XXX581570009XX</v>
      </c>
      <c r="L775" s="391" t="s">
        <v>1996</v>
      </c>
      <c r="M775" s="398" t="s">
        <v>717</v>
      </c>
      <c r="N775" s="399">
        <v>758105</v>
      </c>
      <c r="O775" s="399" t="s">
        <v>1202</v>
      </c>
      <c r="P775" s="398" t="s">
        <v>1554</v>
      </c>
    </row>
    <row r="776" spans="1:16" s="401" customFormat="1" ht="36">
      <c r="A776" s="452">
        <f t="shared" si="35"/>
        <v>773</v>
      </c>
      <c r="B776" s="387">
        <v>46098</v>
      </c>
      <c r="C776" s="388">
        <v>46055</v>
      </c>
      <c r="D776" s="389" t="s">
        <v>248</v>
      </c>
      <c r="E776" s="393" t="s">
        <v>151</v>
      </c>
      <c r="F776" s="404">
        <v>173.98</v>
      </c>
      <c r="G776" s="397" t="s">
        <v>1682</v>
      </c>
      <c r="H776" s="389" t="s">
        <v>278</v>
      </c>
      <c r="I776" s="398" t="s">
        <v>641</v>
      </c>
      <c r="J776" s="399" t="s">
        <v>642</v>
      </c>
      <c r="K776" s="390" t="str">
        <f t="shared" si="34"/>
        <v>XXX581570009XX</v>
      </c>
      <c r="L776" s="391" t="s">
        <v>1996</v>
      </c>
      <c r="M776" s="398" t="s">
        <v>717</v>
      </c>
      <c r="N776" s="399">
        <v>758105</v>
      </c>
      <c r="O776" s="399" t="s">
        <v>1202</v>
      </c>
      <c r="P776" s="398" t="s">
        <v>1554</v>
      </c>
    </row>
    <row r="777" spans="1:16" s="401" customFormat="1" ht="36">
      <c r="A777" s="452">
        <f t="shared" si="35"/>
        <v>774</v>
      </c>
      <c r="B777" s="387">
        <v>46098</v>
      </c>
      <c r="C777" s="388">
        <v>46055</v>
      </c>
      <c r="D777" s="389" t="s">
        <v>248</v>
      </c>
      <c r="E777" s="393" t="s">
        <v>151</v>
      </c>
      <c r="F777" s="404">
        <v>209.54</v>
      </c>
      <c r="G777" s="397" t="s">
        <v>1682</v>
      </c>
      <c r="H777" s="389" t="s">
        <v>278</v>
      </c>
      <c r="I777" s="398" t="s">
        <v>641</v>
      </c>
      <c r="J777" s="399" t="s">
        <v>642</v>
      </c>
      <c r="K777" s="390" t="str">
        <f t="shared" si="34"/>
        <v>XXX581570009XX</v>
      </c>
      <c r="L777" s="391" t="s">
        <v>1996</v>
      </c>
      <c r="M777" s="398" t="s">
        <v>717</v>
      </c>
      <c r="N777" s="399">
        <v>757867</v>
      </c>
      <c r="O777" s="399" t="s">
        <v>1202</v>
      </c>
      <c r="P777" s="398" t="s">
        <v>1554</v>
      </c>
    </row>
    <row r="778" spans="1:16" s="401" customFormat="1" ht="36">
      <c r="A778" s="452">
        <f t="shared" si="35"/>
        <v>775</v>
      </c>
      <c r="B778" s="387">
        <v>46098</v>
      </c>
      <c r="C778" s="388">
        <v>46055</v>
      </c>
      <c r="D778" s="389" t="s">
        <v>248</v>
      </c>
      <c r="E778" s="393" t="s">
        <v>151</v>
      </c>
      <c r="F778" s="404">
        <v>1074.8800000000001</v>
      </c>
      <c r="G778" s="397" t="s">
        <v>1682</v>
      </c>
      <c r="H778" s="389" t="s">
        <v>278</v>
      </c>
      <c r="I778" s="398" t="s">
        <v>641</v>
      </c>
      <c r="J778" s="399" t="s">
        <v>642</v>
      </c>
      <c r="K778" s="390" t="str">
        <f t="shared" si="34"/>
        <v>XXX581570009XX</v>
      </c>
      <c r="L778" s="391" t="s">
        <v>1996</v>
      </c>
      <c r="M778" s="398" t="s">
        <v>717</v>
      </c>
      <c r="N778" s="399">
        <v>757867</v>
      </c>
      <c r="O778" s="399" t="s">
        <v>1202</v>
      </c>
      <c r="P778" s="398" t="s">
        <v>1554</v>
      </c>
    </row>
    <row r="779" spans="1:16" s="401" customFormat="1" ht="48">
      <c r="A779" s="452">
        <f t="shared" si="35"/>
        <v>776</v>
      </c>
      <c r="B779" s="387">
        <v>46098</v>
      </c>
      <c r="C779" s="388">
        <v>46083</v>
      </c>
      <c r="D779" s="389" t="s">
        <v>248</v>
      </c>
      <c r="E779" s="398" t="s">
        <v>607</v>
      </c>
      <c r="F779" s="404">
        <v>50.89</v>
      </c>
      <c r="G779" s="397" t="s">
        <v>1683</v>
      </c>
      <c r="H779" s="389" t="s">
        <v>736</v>
      </c>
      <c r="I779" s="398" t="s">
        <v>881</v>
      </c>
      <c r="J779" s="399" t="s">
        <v>773</v>
      </c>
      <c r="K779" s="390" t="str">
        <f t="shared" si="34"/>
        <v>XXX000000000XX</v>
      </c>
      <c r="L779" s="391" t="s">
        <v>1996</v>
      </c>
      <c r="M779" s="398" t="s">
        <v>710</v>
      </c>
      <c r="N779" s="399">
        <v>202521</v>
      </c>
      <c r="O779" s="399" t="s">
        <v>1535</v>
      </c>
      <c r="P779" s="398" t="s">
        <v>735</v>
      </c>
    </row>
    <row r="780" spans="1:16" s="401" customFormat="1" ht="36">
      <c r="A780" s="452">
        <f t="shared" si="35"/>
        <v>777</v>
      </c>
      <c r="B780" s="387">
        <v>46098</v>
      </c>
      <c r="C780" s="388">
        <v>46083</v>
      </c>
      <c r="D780" s="389" t="s">
        <v>248</v>
      </c>
      <c r="E780" s="398" t="s">
        <v>597</v>
      </c>
      <c r="F780" s="404">
        <v>58</v>
      </c>
      <c r="G780" s="397" t="s">
        <v>1684</v>
      </c>
      <c r="H780" s="389" t="s">
        <v>278</v>
      </c>
      <c r="I780" s="398" t="s">
        <v>881</v>
      </c>
      <c r="J780" s="399" t="s">
        <v>773</v>
      </c>
      <c r="K780" s="390" t="str">
        <f t="shared" si="34"/>
        <v>XXX000000000XX</v>
      </c>
      <c r="L780" s="391" t="s">
        <v>1996</v>
      </c>
      <c r="M780" s="398" t="s">
        <v>710</v>
      </c>
      <c r="N780" s="399">
        <v>9534</v>
      </c>
      <c r="O780" s="399" t="s">
        <v>1535</v>
      </c>
      <c r="P780" s="398" t="s">
        <v>735</v>
      </c>
    </row>
    <row r="781" spans="1:16" s="401" customFormat="1" ht="36">
      <c r="A781" s="452">
        <f t="shared" si="35"/>
        <v>778</v>
      </c>
      <c r="B781" s="387">
        <v>46098</v>
      </c>
      <c r="C781" s="388">
        <v>46083</v>
      </c>
      <c r="D781" s="389" t="s">
        <v>353</v>
      </c>
      <c r="E781" s="394" t="s">
        <v>153</v>
      </c>
      <c r="F781" s="404">
        <v>-200</v>
      </c>
      <c r="G781" s="397" t="s">
        <v>1685</v>
      </c>
      <c r="H781" s="389" t="s">
        <v>280</v>
      </c>
      <c r="I781" s="394" t="s">
        <v>744</v>
      </c>
      <c r="J781" s="455">
        <v>7837375000150</v>
      </c>
      <c r="K781" s="390" t="str">
        <f t="shared" si="34"/>
        <v>XXX737500015XX</v>
      </c>
      <c r="L781" s="391" t="s">
        <v>1996</v>
      </c>
      <c r="M781" s="398" t="s">
        <v>1207</v>
      </c>
      <c r="N781" s="399">
        <v>10</v>
      </c>
      <c r="O781" s="399" t="s">
        <v>1532</v>
      </c>
      <c r="P781" s="398" t="s">
        <v>1553</v>
      </c>
    </row>
    <row r="782" spans="1:16" s="401" customFormat="1" ht="48">
      <c r="A782" s="452">
        <f t="shared" si="35"/>
        <v>779</v>
      </c>
      <c r="B782" s="387">
        <v>46098</v>
      </c>
      <c r="C782" s="388">
        <v>46083</v>
      </c>
      <c r="D782" s="389" t="s">
        <v>248</v>
      </c>
      <c r="E782" s="398" t="s">
        <v>590</v>
      </c>
      <c r="F782" s="404">
        <v>1271</v>
      </c>
      <c r="G782" s="397" t="s">
        <v>1931</v>
      </c>
      <c r="H782" s="389" t="s">
        <v>736</v>
      </c>
      <c r="I782" s="398" t="s">
        <v>668</v>
      </c>
      <c r="J782" s="399" t="s">
        <v>669</v>
      </c>
      <c r="K782" s="390" t="str">
        <f t="shared" si="34"/>
        <v>XXX077460001XX</v>
      </c>
      <c r="L782" s="391" t="s">
        <v>1996</v>
      </c>
      <c r="M782" s="398" t="s">
        <v>1204</v>
      </c>
      <c r="N782" s="399">
        <v>573843744</v>
      </c>
      <c r="O782" s="399" t="s">
        <v>1535</v>
      </c>
      <c r="P782" s="398" t="s">
        <v>1553</v>
      </c>
    </row>
    <row r="783" spans="1:16" s="401" customFormat="1" ht="48">
      <c r="A783" s="452">
        <f t="shared" si="35"/>
        <v>780</v>
      </c>
      <c r="B783" s="387">
        <v>46098</v>
      </c>
      <c r="C783" s="388">
        <v>46083</v>
      </c>
      <c r="D783" s="389" t="s">
        <v>248</v>
      </c>
      <c r="E783" s="398" t="s">
        <v>590</v>
      </c>
      <c r="F783" s="404">
        <v>7202.33</v>
      </c>
      <c r="G783" s="397" t="s">
        <v>1686</v>
      </c>
      <c r="H783" s="389" t="s">
        <v>736</v>
      </c>
      <c r="I783" s="398" t="s">
        <v>1474</v>
      </c>
      <c r="J783" s="399" t="s">
        <v>773</v>
      </c>
      <c r="K783" s="390" t="str">
        <f t="shared" si="34"/>
        <v>XXX000000000XX</v>
      </c>
      <c r="L783" s="391" t="s">
        <v>1996</v>
      </c>
      <c r="M783" s="398" t="s">
        <v>727</v>
      </c>
      <c r="N783" s="399">
        <v>573843744</v>
      </c>
      <c r="O783" s="399" t="s">
        <v>1535</v>
      </c>
      <c r="P783" s="398" t="s">
        <v>1553</v>
      </c>
    </row>
    <row r="784" spans="1:16" s="401" customFormat="1" ht="48">
      <c r="A784" s="452">
        <f t="shared" si="35"/>
        <v>781</v>
      </c>
      <c r="B784" s="387">
        <v>46098</v>
      </c>
      <c r="C784" s="388">
        <v>46083</v>
      </c>
      <c r="D784" s="389" t="s">
        <v>248</v>
      </c>
      <c r="E784" s="398" t="s">
        <v>590</v>
      </c>
      <c r="F784" s="404">
        <v>252.08</v>
      </c>
      <c r="G784" s="397" t="s">
        <v>1686</v>
      </c>
      <c r="H784" s="389" t="s">
        <v>736</v>
      </c>
      <c r="I784" s="398" t="s">
        <v>690</v>
      </c>
      <c r="J784" s="399" t="s">
        <v>691</v>
      </c>
      <c r="K784" s="390" t="str">
        <f t="shared" si="34"/>
        <v>XXX011900001XX</v>
      </c>
      <c r="L784" s="391" t="s">
        <v>1996</v>
      </c>
      <c r="M784" s="398" t="s">
        <v>1203</v>
      </c>
      <c r="N784" s="399">
        <v>573843744</v>
      </c>
      <c r="O784" s="399" t="s">
        <v>1535</v>
      </c>
      <c r="P784" s="398" t="s">
        <v>1553</v>
      </c>
    </row>
    <row r="785" spans="1:16" s="401" customFormat="1" ht="144">
      <c r="A785" s="452">
        <f t="shared" si="35"/>
        <v>782</v>
      </c>
      <c r="B785" s="387">
        <v>46099</v>
      </c>
      <c r="C785" s="388">
        <v>46055</v>
      </c>
      <c r="D785" s="389" t="s">
        <v>248</v>
      </c>
      <c r="E785" s="395" t="s">
        <v>0</v>
      </c>
      <c r="F785" s="404">
        <v>844.31</v>
      </c>
      <c r="G785" s="397" t="s">
        <v>1687</v>
      </c>
      <c r="H785" s="389" t="s">
        <v>278</v>
      </c>
      <c r="I785" s="398" t="s">
        <v>1125</v>
      </c>
      <c r="J785" s="399" t="s">
        <v>1126</v>
      </c>
      <c r="K785" s="390" t="str">
        <f t="shared" si="34"/>
        <v>XXX128300001XX</v>
      </c>
      <c r="L785" s="391" t="s">
        <v>1996</v>
      </c>
      <c r="M785" s="398" t="s">
        <v>704</v>
      </c>
      <c r="N785" s="399">
        <v>2364</v>
      </c>
      <c r="O785" s="399" t="s">
        <v>1197</v>
      </c>
      <c r="P785" s="398" t="s">
        <v>1553</v>
      </c>
    </row>
    <row r="786" spans="1:16" s="401" customFormat="1" ht="60">
      <c r="A786" s="452">
        <f t="shared" si="35"/>
        <v>783</v>
      </c>
      <c r="B786" s="387">
        <v>46099</v>
      </c>
      <c r="C786" s="388">
        <v>46083</v>
      </c>
      <c r="D786" s="389" t="s">
        <v>248</v>
      </c>
      <c r="E786" s="398" t="s">
        <v>592</v>
      </c>
      <c r="F786" s="404">
        <v>446.2</v>
      </c>
      <c r="G786" s="397" t="s">
        <v>1688</v>
      </c>
      <c r="H786" s="389" t="s">
        <v>737</v>
      </c>
      <c r="I786" s="398" t="s">
        <v>1427</v>
      </c>
      <c r="J786" s="399" t="s">
        <v>1428</v>
      </c>
      <c r="K786" s="390" t="str">
        <f t="shared" si="34"/>
        <v>XXX655950001XX</v>
      </c>
      <c r="L786" s="391" t="s">
        <v>1996</v>
      </c>
      <c r="M786" s="398" t="s">
        <v>708</v>
      </c>
      <c r="N786" s="399">
        <v>188</v>
      </c>
      <c r="O786" s="399" t="s">
        <v>1529</v>
      </c>
      <c r="P786" s="398" t="s">
        <v>1553</v>
      </c>
    </row>
    <row r="787" spans="1:16" s="401" customFormat="1" ht="24">
      <c r="A787" s="452">
        <f t="shared" si="35"/>
        <v>784</v>
      </c>
      <c r="B787" s="387">
        <v>46099</v>
      </c>
      <c r="C787" s="388">
        <v>46083</v>
      </c>
      <c r="D787" s="389" t="s">
        <v>248</v>
      </c>
      <c r="E787" s="398" t="s">
        <v>1550</v>
      </c>
      <c r="F787" s="404">
        <v>1761.38</v>
      </c>
      <c r="G787" s="397" t="s">
        <v>1689</v>
      </c>
      <c r="H787" s="389" t="s">
        <v>736</v>
      </c>
      <c r="I787" s="398" t="s">
        <v>686</v>
      </c>
      <c r="J787" s="399" t="s">
        <v>687</v>
      </c>
      <c r="K787" s="390" t="str">
        <f t="shared" si="34"/>
        <v>XXX900500001XX</v>
      </c>
      <c r="L787" s="391" t="s">
        <v>1996</v>
      </c>
      <c r="M787" s="398" t="s">
        <v>719</v>
      </c>
      <c r="N787" s="399">
        <v>2958</v>
      </c>
      <c r="O787" s="399" t="s">
        <v>1522</v>
      </c>
      <c r="P787" s="398" t="s">
        <v>1554</v>
      </c>
    </row>
    <row r="788" spans="1:16" s="401" customFormat="1" ht="48">
      <c r="A788" s="452">
        <f t="shared" si="35"/>
        <v>785</v>
      </c>
      <c r="B788" s="387">
        <v>46099</v>
      </c>
      <c r="C788" s="388">
        <v>46055</v>
      </c>
      <c r="D788" s="389" t="s">
        <v>248</v>
      </c>
      <c r="E788" s="398" t="s">
        <v>605</v>
      </c>
      <c r="F788" s="404">
        <v>2019.32</v>
      </c>
      <c r="G788" s="397" t="s">
        <v>1690</v>
      </c>
      <c r="H788" s="389" t="s">
        <v>278</v>
      </c>
      <c r="I788" s="398" t="s">
        <v>637</v>
      </c>
      <c r="J788" s="399" t="s">
        <v>638</v>
      </c>
      <c r="K788" s="390" t="str">
        <f t="shared" si="34"/>
        <v>XXX128340001XX</v>
      </c>
      <c r="L788" s="391" t="s">
        <v>1996</v>
      </c>
      <c r="M788" s="398" t="s">
        <v>720</v>
      </c>
      <c r="N788" s="399">
        <v>74980226</v>
      </c>
      <c r="O788" s="399" t="s">
        <v>1180</v>
      </c>
      <c r="P788" s="398" t="s">
        <v>1553</v>
      </c>
    </row>
    <row r="789" spans="1:16" s="401" customFormat="1" ht="60">
      <c r="A789" s="452">
        <f t="shared" si="35"/>
        <v>786</v>
      </c>
      <c r="B789" s="387">
        <v>46099</v>
      </c>
      <c r="C789" s="388">
        <v>46055</v>
      </c>
      <c r="D789" s="389" t="s">
        <v>248</v>
      </c>
      <c r="E789" s="398" t="s">
        <v>605</v>
      </c>
      <c r="F789" s="404">
        <v>2246.5500000000002</v>
      </c>
      <c r="G789" s="397" t="s">
        <v>1691</v>
      </c>
      <c r="H789" s="389" t="s">
        <v>278</v>
      </c>
      <c r="I789" s="398" t="s">
        <v>637</v>
      </c>
      <c r="J789" s="399" t="s">
        <v>638</v>
      </c>
      <c r="K789" s="390" t="str">
        <f t="shared" si="34"/>
        <v>XXX128340001XX</v>
      </c>
      <c r="L789" s="391" t="s">
        <v>1996</v>
      </c>
      <c r="M789" s="398" t="s">
        <v>713</v>
      </c>
      <c r="N789" s="399">
        <v>74310226</v>
      </c>
      <c r="O789" s="399" t="s">
        <v>1180</v>
      </c>
      <c r="P789" s="398" t="s">
        <v>1553</v>
      </c>
    </row>
    <row r="790" spans="1:16" s="401" customFormat="1" ht="48">
      <c r="A790" s="452">
        <f t="shared" si="35"/>
        <v>787</v>
      </c>
      <c r="B790" s="387">
        <v>46099</v>
      </c>
      <c r="C790" s="388">
        <v>46083</v>
      </c>
      <c r="D790" s="389" t="s">
        <v>353</v>
      </c>
      <c r="E790" s="398" t="s">
        <v>587</v>
      </c>
      <c r="F790" s="404">
        <v>916.28</v>
      </c>
      <c r="G790" s="397" t="s">
        <v>1692</v>
      </c>
      <c r="H790" s="389" t="s">
        <v>280</v>
      </c>
      <c r="I790" s="394" t="s">
        <v>744</v>
      </c>
      <c r="J790" s="455">
        <v>7837375000150</v>
      </c>
      <c r="K790" s="390" t="str">
        <f t="shared" si="34"/>
        <v>XXX737500015XX</v>
      </c>
      <c r="L790" s="391" t="s">
        <v>1996</v>
      </c>
      <c r="M790" s="398" t="s">
        <v>707</v>
      </c>
      <c r="N790" s="399">
        <v>32026</v>
      </c>
      <c r="O790" s="399" t="s">
        <v>1527</v>
      </c>
      <c r="P790" s="398" t="s">
        <v>1553</v>
      </c>
    </row>
    <row r="791" spans="1:16" s="401" customFormat="1" ht="60">
      <c r="A791" s="452">
        <f t="shared" si="35"/>
        <v>788</v>
      </c>
      <c r="B791" s="387">
        <v>46099</v>
      </c>
      <c r="C791" s="388">
        <v>46055</v>
      </c>
      <c r="D791" s="389" t="s">
        <v>248</v>
      </c>
      <c r="E791" s="398" t="s">
        <v>605</v>
      </c>
      <c r="F791" s="404">
        <v>29.54</v>
      </c>
      <c r="G791" s="397" t="s">
        <v>1693</v>
      </c>
      <c r="H791" s="389" t="s">
        <v>278</v>
      </c>
      <c r="I791" s="398" t="s">
        <v>637</v>
      </c>
      <c r="J791" s="399" t="s">
        <v>638</v>
      </c>
      <c r="K791" s="390" t="str">
        <f t="shared" si="34"/>
        <v>XXX128340001XX</v>
      </c>
      <c r="L791" s="391" t="s">
        <v>1996</v>
      </c>
      <c r="M791" s="398" t="s">
        <v>716</v>
      </c>
      <c r="N791" s="399">
        <v>74310226</v>
      </c>
      <c r="O791" s="399" t="s">
        <v>1180</v>
      </c>
      <c r="P791" s="398" t="s">
        <v>1557</v>
      </c>
    </row>
    <row r="792" spans="1:16" s="401" customFormat="1" ht="60">
      <c r="A792" s="452">
        <f t="shared" si="35"/>
        <v>789</v>
      </c>
      <c r="B792" s="387">
        <v>46099</v>
      </c>
      <c r="C792" s="388">
        <v>46055</v>
      </c>
      <c r="D792" s="389" t="s">
        <v>248</v>
      </c>
      <c r="E792" s="398" t="s">
        <v>605</v>
      </c>
      <c r="F792" s="404">
        <v>688.9</v>
      </c>
      <c r="G792" s="397" t="s">
        <v>1694</v>
      </c>
      <c r="H792" s="389" t="s">
        <v>278</v>
      </c>
      <c r="I792" s="398" t="s">
        <v>637</v>
      </c>
      <c r="J792" s="399" t="s">
        <v>638</v>
      </c>
      <c r="K792" s="390" t="str">
        <f t="shared" si="34"/>
        <v>XXX128340001XX</v>
      </c>
      <c r="L792" s="391" t="s">
        <v>1996</v>
      </c>
      <c r="M792" s="398" t="s">
        <v>715</v>
      </c>
      <c r="N792" s="399">
        <v>74310226</v>
      </c>
      <c r="O792" s="399" t="s">
        <v>1180</v>
      </c>
      <c r="P792" s="398" t="s">
        <v>1557</v>
      </c>
    </row>
    <row r="793" spans="1:16" s="401" customFormat="1" ht="24">
      <c r="A793" s="452">
        <f t="shared" si="35"/>
        <v>790</v>
      </c>
      <c r="B793" s="387">
        <v>46099</v>
      </c>
      <c r="C793" s="388">
        <v>46083</v>
      </c>
      <c r="D793" s="389" t="s">
        <v>166</v>
      </c>
      <c r="E793" s="398" t="s">
        <v>583</v>
      </c>
      <c r="F793" s="404">
        <v>687.28</v>
      </c>
      <c r="G793" s="397" t="s">
        <v>1695</v>
      </c>
      <c r="H793" s="389" t="s">
        <v>166</v>
      </c>
      <c r="I793" s="398" t="s">
        <v>1475</v>
      </c>
      <c r="J793" s="399" t="s">
        <v>1476</v>
      </c>
      <c r="K793" s="390" t="str">
        <f t="shared" ref="K793" si="36">IF(J793="","",IF(LEN(J793)&gt;14,IF(ISBLANK(J793),"",J793),REPLACE(REPLACE(J793,1,3,"XXX"),13,2,"XX")))</f>
        <v>XXX50268671 XX</v>
      </c>
      <c r="L793" s="391" t="s">
        <v>1996</v>
      </c>
      <c r="M793" s="398" t="s">
        <v>705</v>
      </c>
      <c r="N793" s="399">
        <v>733</v>
      </c>
      <c r="O793" s="399" t="s">
        <v>1521</v>
      </c>
      <c r="P793" s="398" t="s">
        <v>1557</v>
      </c>
    </row>
    <row r="794" spans="1:16" s="401" customFormat="1" ht="60">
      <c r="A794" s="452">
        <f t="shared" si="35"/>
        <v>791</v>
      </c>
      <c r="B794" s="387">
        <v>46100</v>
      </c>
      <c r="C794" s="388">
        <v>46083</v>
      </c>
      <c r="D794" s="389" t="s">
        <v>248</v>
      </c>
      <c r="E794" s="395" t="s">
        <v>78</v>
      </c>
      <c r="F794" s="404">
        <v>4872.82</v>
      </c>
      <c r="G794" s="397" t="s">
        <v>1696</v>
      </c>
      <c r="H794" s="389" t="s">
        <v>1029</v>
      </c>
      <c r="I794" s="398" t="s">
        <v>658</v>
      </c>
      <c r="J794" s="399" t="s">
        <v>659</v>
      </c>
      <c r="K794" s="390" t="str">
        <f t="shared" si="34"/>
        <v>XXX694420001XX</v>
      </c>
      <c r="L794" s="391" t="s">
        <v>1996</v>
      </c>
      <c r="M794" s="398" t="s">
        <v>708</v>
      </c>
      <c r="N794" s="399">
        <v>591</v>
      </c>
      <c r="O794" s="399" t="s">
        <v>1526</v>
      </c>
      <c r="P794" s="398" t="s">
        <v>1553</v>
      </c>
    </row>
    <row r="795" spans="1:16" s="401" customFormat="1" ht="36">
      <c r="A795" s="452">
        <f t="shared" si="35"/>
        <v>792</v>
      </c>
      <c r="B795" s="387">
        <v>46100</v>
      </c>
      <c r="C795" s="388">
        <v>46083</v>
      </c>
      <c r="D795" s="389" t="s">
        <v>248</v>
      </c>
      <c r="E795" s="398" t="s">
        <v>1551</v>
      </c>
      <c r="F795" s="404">
        <v>1016</v>
      </c>
      <c r="G795" s="397" t="s">
        <v>1697</v>
      </c>
      <c r="H795" s="389" t="s">
        <v>737</v>
      </c>
      <c r="I795" s="398" t="s">
        <v>1477</v>
      </c>
      <c r="J795" s="399" t="s">
        <v>1478</v>
      </c>
      <c r="K795" s="390" t="str">
        <f t="shared" si="34"/>
        <v>XXX780570001XX</v>
      </c>
      <c r="L795" s="391" t="s">
        <v>1996</v>
      </c>
      <c r="M795" s="398" t="s">
        <v>707</v>
      </c>
      <c r="N795" s="399">
        <v>59</v>
      </c>
      <c r="O795" s="399" t="s">
        <v>1532</v>
      </c>
      <c r="P795" s="398" t="s">
        <v>1554</v>
      </c>
    </row>
    <row r="796" spans="1:16" s="401" customFormat="1" ht="36">
      <c r="A796" s="452">
        <f t="shared" si="35"/>
        <v>793</v>
      </c>
      <c r="B796" s="387">
        <v>46100</v>
      </c>
      <c r="C796" s="388">
        <v>46083</v>
      </c>
      <c r="D796" s="389" t="s">
        <v>248</v>
      </c>
      <c r="E796" s="398" t="s">
        <v>1219</v>
      </c>
      <c r="F796" s="404">
        <v>1850</v>
      </c>
      <c r="G796" s="397" t="s">
        <v>1698</v>
      </c>
      <c r="H796" s="389" t="s">
        <v>736</v>
      </c>
      <c r="I796" s="398" t="s">
        <v>1479</v>
      </c>
      <c r="J796" s="399" t="s">
        <v>1480</v>
      </c>
      <c r="K796" s="390" t="str">
        <f t="shared" si="34"/>
        <v>XXX51497896 XX</v>
      </c>
      <c r="L796" s="391" t="s">
        <v>1996</v>
      </c>
      <c r="M796" s="398" t="s">
        <v>719</v>
      </c>
      <c r="N796" s="399">
        <v>12</v>
      </c>
      <c r="O796" s="399" t="s">
        <v>1530</v>
      </c>
      <c r="P796" s="398" t="s">
        <v>1554</v>
      </c>
    </row>
    <row r="797" spans="1:16" s="401" customFormat="1" ht="36">
      <c r="A797" s="452">
        <f t="shared" si="35"/>
        <v>794</v>
      </c>
      <c r="B797" s="387">
        <v>46100</v>
      </c>
      <c r="C797" s="388">
        <v>46083</v>
      </c>
      <c r="D797" s="389" t="s">
        <v>248</v>
      </c>
      <c r="E797" s="398" t="s">
        <v>589</v>
      </c>
      <c r="F797" s="404">
        <v>272.5</v>
      </c>
      <c r="G797" s="397" t="s">
        <v>1699</v>
      </c>
      <c r="H797" s="389" t="s">
        <v>736</v>
      </c>
      <c r="I797" s="398" t="s">
        <v>688</v>
      </c>
      <c r="J797" s="399" t="s">
        <v>689</v>
      </c>
      <c r="K797" s="390" t="str">
        <f t="shared" si="34"/>
        <v>XXX016540001XX</v>
      </c>
      <c r="L797" s="391" t="s">
        <v>1996</v>
      </c>
      <c r="M797" s="398" t="s">
        <v>708</v>
      </c>
      <c r="N797" s="399">
        <v>2418</v>
      </c>
      <c r="O797" s="399" t="s">
        <v>1530</v>
      </c>
      <c r="P797" s="398" t="s">
        <v>1553</v>
      </c>
    </row>
    <row r="798" spans="1:16" s="401" customFormat="1" ht="48">
      <c r="A798" s="452">
        <f t="shared" si="35"/>
        <v>795</v>
      </c>
      <c r="B798" s="387">
        <v>46100</v>
      </c>
      <c r="C798" s="388">
        <v>46083</v>
      </c>
      <c r="D798" s="389" t="s">
        <v>248</v>
      </c>
      <c r="E798" s="398" t="s">
        <v>599</v>
      </c>
      <c r="F798" s="404">
        <v>1224.78</v>
      </c>
      <c r="G798" s="397" t="s">
        <v>1779</v>
      </c>
      <c r="H798" s="389" t="s">
        <v>736</v>
      </c>
      <c r="I798" s="398" t="s">
        <v>1481</v>
      </c>
      <c r="J798" s="399" t="s">
        <v>1482</v>
      </c>
      <c r="K798" s="390" t="str">
        <f t="shared" si="34"/>
        <v>XXX582120001XX</v>
      </c>
      <c r="L798" s="391" t="s">
        <v>1996</v>
      </c>
      <c r="M798" s="398" t="s">
        <v>707</v>
      </c>
      <c r="N798" s="399">
        <v>26</v>
      </c>
      <c r="O798" s="399" t="s">
        <v>1530</v>
      </c>
      <c r="P798" s="398" t="s">
        <v>1554</v>
      </c>
    </row>
    <row r="799" spans="1:16" s="401" customFormat="1" ht="84">
      <c r="A799" s="452">
        <f t="shared" si="35"/>
        <v>796</v>
      </c>
      <c r="B799" s="387">
        <v>46100</v>
      </c>
      <c r="C799" s="388">
        <v>46083</v>
      </c>
      <c r="D799" s="389" t="s">
        <v>248</v>
      </c>
      <c r="E799" s="398" t="s">
        <v>598</v>
      </c>
      <c r="F799" s="404">
        <v>2800</v>
      </c>
      <c r="G799" s="397" t="s">
        <v>1700</v>
      </c>
      <c r="H799" s="389" t="s">
        <v>736</v>
      </c>
      <c r="I799" s="398" t="s">
        <v>1470</v>
      </c>
      <c r="J799" s="399" t="s">
        <v>1471</v>
      </c>
      <c r="K799" s="390" t="str">
        <f t="shared" si="34"/>
        <v>XXX40038671 XX</v>
      </c>
      <c r="L799" s="391" t="s">
        <v>1996</v>
      </c>
      <c r="M799" s="398" t="s">
        <v>719</v>
      </c>
      <c r="N799" s="399">
        <v>68</v>
      </c>
      <c r="O799" s="399" t="s">
        <v>1532</v>
      </c>
      <c r="P799" s="398" t="s">
        <v>1554</v>
      </c>
    </row>
    <row r="800" spans="1:16" s="401" customFormat="1" ht="48">
      <c r="A800" s="452">
        <f t="shared" si="35"/>
        <v>797</v>
      </c>
      <c r="B800" s="387">
        <v>46100</v>
      </c>
      <c r="C800" s="388">
        <v>46083</v>
      </c>
      <c r="D800" s="389" t="s">
        <v>248</v>
      </c>
      <c r="E800" s="398" t="s">
        <v>1214</v>
      </c>
      <c r="F800" s="404">
        <v>23229.89</v>
      </c>
      <c r="G800" s="397" t="s">
        <v>1701</v>
      </c>
      <c r="H800" s="389" t="s">
        <v>1029</v>
      </c>
      <c r="I800" s="398" t="s">
        <v>1483</v>
      </c>
      <c r="J800" s="399" t="s">
        <v>1484</v>
      </c>
      <c r="K800" s="390" t="str">
        <f t="shared" si="34"/>
        <v>XXX647460001XX</v>
      </c>
      <c r="L800" s="391" t="s">
        <v>1996</v>
      </c>
      <c r="M800" s="398" t="s">
        <v>708</v>
      </c>
      <c r="N800" s="399">
        <v>184</v>
      </c>
      <c r="O800" s="399" t="s">
        <v>1533</v>
      </c>
      <c r="P800" s="398" t="s">
        <v>1553</v>
      </c>
    </row>
    <row r="801" spans="1:16" s="401" customFormat="1" ht="36">
      <c r="A801" s="452">
        <f t="shared" si="35"/>
        <v>798</v>
      </c>
      <c r="B801" s="387">
        <v>46100</v>
      </c>
      <c r="C801" s="388">
        <v>46083</v>
      </c>
      <c r="D801" s="389" t="s">
        <v>248</v>
      </c>
      <c r="E801" s="398" t="s">
        <v>595</v>
      </c>
      <c r="F801" s="404">
        <v>7310</v>
      </c>
      <c r="G801" s="397" t="s">
        <v>1702</v>
      </c>
      <c r="H801" s="389" t="s">
        <v>738</v>
      </c>
      <c r="I801" s="398" t="s">
        <v>1485</v>
      </c>
      <c r="J801" s="399" t="s">
        <v>1486</v>
      </c>
      <c r="K801" s="390" t="str">
        <f t="shared" si="34"/>
        <v>XXX28184600 XX</v>
      </c>
      <c r="L801" s="391" t="s">
        <v>1996</v>
      </c>
      <c r="M801" s="398" t="s">
        <v>707</v>
      </c>
      <c r="N801" s="399">
        <v>31</v>
      </c>
      <c r="O801" s="399" t="s">
        <v>1533</v>
      </c>
      <c r="P801" s="398" t="s">
        <v>1554</v>
      </c>
    </row>
    <row r="802" spans="1:16" s="401" customFormat="1" ht="72">
      <c r="A802" s="452">
        <f t="shared" si="35"/>
        <v>799</v>
      </c>
      <c r="B802" s="387">
        <v>46100</v>
      </c>
      <c r="C802" s="388">
        <v>46055</v>
      </c>
      <c r="D802" s="389" t="s">
        <v>248</v>
      </c>
      <c r="E802" s="398" t="s">
        <v>608</v>
      </c>
      <c r="F802" s="404">
        <v>195.9</v>
      </c>
      <c r="G802" s="397" t="s">
        <v>1703</v>
      </c>
      <c r="H802" s="389" t="s">
        <v>1029</v>
      </c>
      <c r="I802" s="398" t="s">
        <v>645</v>
      </c>
      <c r="J802" s="399" t="s">
        <v>646</v>
      </c>
      <c r="K802" s="390" t="str">
        <f t="shared" si="34"/>
        <v>XXX460700001XX</v>
      </c>
      <c r="L802" s="391" t="s">
        <v>1996</v>
      </c>
      <c r="M802" s="398" t="s">
        <v>708</v>
      </c>
      <c r="N802" s="399">
        <v>1172026</v>
      </c>
      <c r="O802" s="399" t="s">
        <v>1182</v>
      </c>
      <c r="P802" s="398" t="s">
        <v>1553</v>
      </c>
    </row>
    <row r="803" spans="1:16" s="401" customFormat="1" ht="72">
      <c r="A803" s="452">
        <f t="shared" si="35"/>
        <v>800</v>
      </c>
      <c r="B803" s="387">
        <v>46100</v>
      </c>
      <c r="C803" s="388">
        <v>46083</v>
      </c>
      <c r="D803" s="389" t="s">
        <v>248</v>
      </c>
      <c r="E803" s="398" t="s">
        <v>608</v>
      </c>
      <c r="F803" s="404">
        <v>119.71</v>
      </c>
      <c r="G803" s="397" t="s">
        <v>1703</v>
      </c>
      <c r="H803" s="389" t="s">
        <v>1029</v>
      </c>
      <c r="I803" s="398" t="s">
        <v>645</v>
      </c>
      <c r="J803" s="399" t="s">
        <v>646</v>
      </c>
      <c r="K803" s="390" t="str">
        <f t="shared" si="34"/>
        <v>XXX460700001XX</v>
      </c>
      <c r="L803" s="391" t="s">
        <v>1996</v>
      </c>
      <c r="M803" s="398" t="s">
        <v>708</v>
      </c>
      <c r="N803" s="399">
        <v>1162026</v>
      </c>
      <c r="O803" s="399" t="s">
        <v>1530</v>
      </c>
      <c r="P803" s="398" t="s">
        <v>1553</v>
      </c>
    </row>
    <row r="804" spans="1:16" s="401" customFormat="1" ht="36">
      <c r="A804" s="452">
        <f t="shared" si="35"/>
        <v>801</v>
      </c>
      <c r="B804" s="387">
        <v>46100</v>
      </c>
      <c r="C804" s="388">
        <v>46083</v>
      </c>
      <c r="D804" s="389" t="s">
        <v>248</v>
      </c>
      <c r="E804" s="398" t="s">
        <v>802</v>
      </c>
      <c r="F804" s="404">
        <v>1261</v>
      </c>
      <c r="G804" s="397" t="s">
        <v>1704</v>
      </c>
      <c r="H804" s="389" t="s">
        <v>737</v>
      </c>
      <c r="I804" s="398" t="s">
        <v>1487</v>
      </c>
      <c r="J804" s="399" t="s">
        <v>1488</v>
      </c>
      <c r="K804" s="390" t="str">
        <f t="shared" si="34"/>
        <v>XXX671560001XX</v>
      </c>
      <c r="L804" s="391" t="s">
        <v>1996</v>
      </c>
      <c r="M804" s="398" t="s">
        <v>708</v>
      </c>
      <c r="N804" s="399">
        <v>70</v>
      </c>
      <c r="O804" s="399" t="s">
        <v>1532</v>
      </c>
      <c r="P804" s="398" t="s">
        <v>1553</v>
      </c>
    </row>
    <row r="805" spans="1:16" s="401" customFormat="1" ht="72">
      <c r="A805" s="452">
        <f t="shared" si="35"/>
        <v>802</v>
      </c>
      <c r="B805" s="387">
        <v>46100</v>
      </c>
      <c r="C805" s="388">
        <v>46083</v>
      </c>
      <c r="D805" s="389" t="s">
        <v>248</v>
      </c>
      <c r="E805" s="398" t="s">
        <v>600</v>
      </c>
      <c r="F805" s="404">
        <v>9435.19</v>
      </c>
      <c r="G805" s="397" t="s">
        <v>1351</v>
      </c>
      <c r="H805" s="389" t="s">
        <v>737</v>
      </c>
      <c r="I805" s="398" t="s">
        <v>1142</v>
      </c>
      <c r="J805" s="399" t="s">
        <v>1143</v>
      </c>
      <c r="K805" s="390" t="str">
        <f t="shared" si="34"/>
        <v>XXX410700001XX</v>
      </c>
      <c r="L805" s="391" t="s">
        <v>1996</v>
      </c>
      <c r="M805" s="398" t="s">
        <v>708</v>
      </c>
      <c r="N805" s="399">
        <v>38</v>
      </c>
      <c r="O805" s="399" t="s">
        <v>1533</v>
      </c>
      <c r="P805" s="398" t="s">
        <v>1553</v>
      </c>
    </row>
    <row r="806" spans="1:16" s="401" customFormat="1" ht="48">
      <c r="A806" s="452">
        <f t="shared" si="35"/>
        <v>803</v>
      </c>
      <c r="B806" s="387">
        <v>46100</v>
      </c>
      <c r="C806" s="388">
        <v>46083</v>
      </c>
      <c r="D806" s="389" t="s">
        <v>248</v>
      </c>
      <c r="E806" s="398" t="s">
        <v>590</v>
      </c>
      <c r="F806" s="404">
        <v>3000</v>
      </c>
      <c r="G806" s="397" t="s">
        <v>1705</v>
      </c>
      <c r="H806" s="389" t="s">
        <v>736</v>
      </c>
      <c r="I806" s="398" t="s">
        <v>1489</v>
      </c>
      <c r="J806" s="399" t="s">
        <v>1490</v>
      </c>
      <c r="K806" s="390" t="str">
        <f t="shared" si="34"/>
        <v>XXX178950001XX</v>
      </c>
      <c r="L806" s="391" t="s">
        <v>1996</v>
      </c>
      <c r="M806" s="398" t="s">
        <v>719</v>
      </c>
      <c r="N806" s="399">
        <v>71</v>
      </c>
      <c r="O806" s="399" t="s">
        <v>1527</v>
      </c>
      <c r="P806" s="398" t="s">
        <v>1554</v>
      </c>
    </row>
    <row r="807" spans="1:16" s="401" customFormat="1" ht="36">
      <c r="A807" s="452">
        <f t="shared" si="35"/>
        <v>804</v>
      </c>
      <c r="B807" s="387">
        <v>46100</v>
      </c>
      <c r="C807" s="388">
        <v>46083</v>
      </c>
      <c r="D807" s="389" t="s">
        <v>353</v>
      </c>
      <c r="E807" s="394" t="s">
        <v>153</v>
      </c>
      <c r="F807" s="404">
        <v>8410.1299999999992</v>
      </c>
      <c r="G807" s="397" t="s">
        <v>1706</v>
      </c>
      <c r="H807" s="389" t="s">
        <v>280</v>
      </c>
      <c r="I807" s="394" t="s">
        <v>744</v>
      </c>
      <c r="J807" s="455">
        <v>7837375000150</v>
      </c>
      <c r="K807" s="390" t="str">
        <f t="shared" si="34"/>
        <v>XXX737500015XX</v>
      </c>
      <c r="L807" s="391" t="s">
        <v>1996</v>
      </c>
      <c r="M807" s="398" t="s">
        <v>726</v>
      </c>
      <c r="N807" s="399">
        <v>12032026</v>
      </c>
      <c r="O807" s="399" t="s">
        <v>1533</v>
      </c>
      <c r="P807" s="398" t="s">
        <v>1553</v>
      </c>
    </row>
    <row r="808" spans="1:16" s="401" customFormat="1" ht="36">
      <c r="A808" s="452">
        <f t="shared" si="35"/>
        <v>805</v>
      </c>
      <c r="B808" s="387">
        <v>46100</v>
      </c>
      <c r="C808" s="388">
        <v>46083</v>
      </c>
      <c r="D808" s="389" t="s">
        <v>353</v>
      </c>
      <c r="E808" s="394" t="s">
        <v>153</v>
      </c>
      <c r="F808" s="404">
        <v>15147.26</v>
      </c>
      <c r="G808" s="397" t="s">
        <v>1707</v>
      </c>
      <c r="H808" s="389" t="s">
        <v>280</v>
      </c>
      <c r="I808" s="394" t="s">
        <v>744</v>
      </c>
      <c r="J808" s="455">
        <v>7837375000150</v>
      </c>
      <c r="K808" s="390" t="str">
        <f t="shared" si="34"/>
        <v>XXX737500015XX</v>
      </c>
      <c r="L808" s="391" t="s">
        <v>1996</v>
      </c>
      <c r="M808" s="398" t="s">
        <v>726</v>
      </c>
      <c r="N808" s="399">
        <v>13032026</v>
      </c>
      <c r="O808" s="399" t="s">
        <v>1536</v>
      </c>
      <c r="P808" s="398" t="s">
        <v>1553</v>
      </c>
    </row>
    <row r="809" spans="1:16" s="401" customFormat="1" ht="95.25" customHeight="1">
      <c r="A809" s="452">
        <f t="shared" si="35"/>
        <v>806</v>
      </c>
      <c r="B809" s="387">
        <v>46100</v>
      </c>
      <c r="C809" s="388">
        <v>46083</v>
      </c>
      <c r="D809" s="389" t="s">
        <v>248</v>
      </c>
      <c r="E809" s="398" t="s">
        <v>1550</v>
      </c>
      <c r="F809" s="404">
        <v>1761.38</v>
      </c>
      <c r="G809" s="397" t="s">
        <v>1653</v>
      </c>
      <c r="H809" s="389" t="s">
        <v>736</v>
      </c>
      <c r="I809" s="398" t="s">
        <v>686</v>
      </c>
      <c r="J809" s="399" t="s">
        <v>687</v>
      </c>
      <c r="K809" s="390" t="str">
        <f t="shared" si="34"/>
        <v>XXX900500001XX</v>
      </c>
      <c r="L809" s="391" t="s">
        <v>1996</v>
      </c>
      <c r="M809" s="398" t="s">
        <v>719</v>
      </c>
      <c r="N809" s="399">
        <v>2942</v>
      </c>
      <c r="O809" s="399" t="s">
        <v>1520</v>
      </c>
      <c r="P809" s="398" t="s">
        <v>1554</v>
      </c>
    </row>
    <row r="810" spans="1:16" s="401" customFormat="1" ht="36">
      <c r="A810" s="452">
        <f t="shared" si="35"/>
        <v>807</v>
      </c>
      <c r="B810" s="387">
        <v>46100</v>
      </c>
      <c r="C810" s="388">
        <v>46083</v>
      </c>
      <c r="D810" s="389" t="s">
        <v>248</v>
      </c>
      <c r="E810" s="398" t="s">
        <v>597</v>
      </c>
      <c r="F810" s="404">
        <v>231.5</v>
      </c>
      <c r="G810" s="397" t="s">
        <v>1708</v>
      </c>
      <c r="H810" s="389" t="s">
        <v>278</v>
      </c>
      <c r="I810" s="398" t="s">
        <v>1491</v>
      </c>
      <c r="J810" s="399" t="s">
        <v>1492</v>
      </c>
      <c r="K810" s="390" t="str">
        <f t="shared" si="34"/>
        <v>XXX118620001XX</v>
      </c>
      <c r="L810" s="391" t="s">
        <v>1996</v>
      </c>
      <c r="M810" s="398" t="s">
        <v>708</v>
      </c>
      <c r="N810" s="399">
        <v>15561</v>
      </c>
      <c r="O810" s="399" t="s">
        <v>1537</v>
      </c>
      <c r="P810" s="398" t="s">
        <v>1553</v>
      </c>
    </row>
    <row r="811" spans="1:16" s="401" customFormat="1" ht="24">
      <c r="A811" s="452">
        <f t="shared" si="35"/>
        <v>808</v>
      </c>
      <c r="B811" s="387">
        <v>46100</v>
      </c>
      <c r="C811" s="388">
        <v>46083</v>
      </c>
      <c r="D811" s="389" t="s">
        <v>248</v>
      </c>
      <c r="E811" s="398" t="s">
        <v>1550</v>
      </c>
      <c r="F811" s="404">
        <v>-1761.38</v>
      </c>
      <c r="G811" s="397" t="s">
        <v>1709</v>
      </c>
      <c r="H811" s="389" t="s">
        <v>736</v>
      </c>
      <c r="I811" s="398" t="s">
        <v>686</v>
      </c>
      <c r="J811" s="399" t="s">
        <v>687</v>
      </c>
      <c r="K811" s="399" t="s">
        <v>280</v>
      </c>
      <c r="L811" s="391" t="s">
        <v>1996</v>
      </c>
      <c r="M811" s="398" t="s">
        <v>1207</v>
      </c>
      <c r="N811" s="399">
        <v>2958</v>
      </c>
      <c r="O811" s="399" t="s">
        <v>1522</v>
      </c>
      <c r="P811" s="398" t="s">
        <v>1554</v>
      </c>
    </row>
    <row r="812" spans="1:16" s="401" customFormat="1" ht="24">
      <c r="A812" s="452">
        <f t="shared" si="35"/>
        <v>809</v>
      </c>
      <c r="B812" s="387">
        <v>46100</v>
      </c>
      <c r="C812" s="388">
        <v>46083</v>
      </c>
      <c r="D812" s="389" t="s">
        <v>166</v>
      </c>
      <c r="E812" s="394" t="s">
        <v>452</v>
      </c>
      <c r="F812" s="404">
        <v>6871</v>
      </c>
      <c r="G812" s="397" t="s">
        <v>1710</v>
      </c>
      <c r="H812" s="389" t="s">
        <v>166</v>
      </c>
      <c r="I812" s="398" t="s">
        <v>776</v>
      </c>
      <c r="J812" s="399" t="s">
        <v>777</v>
      </c>
      <c r="K812" s="399" t="s">
        <v>280</v>
      </c>
      <c r="L812" s="391" t="s">
        <v>1996</v>
      </c>
      <c r="M812" s="398" t="s">
        <v>705</v>
      </c>
      <c r="N812" s="399">
        <v>32026</v>
      </c>
      <c r="O812" s="399" t="s">
        <v>1521</v>
      </c>
      <c r="P812" s="398" t="s">
        <v>1557</v>
      </c>
    </row>
    <row r="813" spans="1:16" s="401" customFormat="1" ht="36">
      <c r="A813" s="452">
        <f t="shared" si="35"/>
        <v>810</v>
      </c>
      <c r="B813" s="387">
        <v>46100</v>
      </c>
      <c r="C813" s="388">
        <v>46083</v>
      </c>
      <c r="D813" s="389" t="s">
        <v>353</v>
      </c>
      <c r="E813" s="394" t="s">
        <v>153</v>
      </c>
      <c r="F813" s="404">
        <v>41211.440000000002</v>
      </c>
      <c r="G813" s="397" t="s">
        <v>821</v>
      </c>
      <c r="H813" s="389" t="s">
        <v>280</v>
      </c>
      <c r="I813" s="394" t="s">
        <v>744</v>
      </c>
      <c r="J813" s="455">
        <v>7837375000150</v>
      </c>
      <c r="K813" s="390" t="str">
        <f t="shared" ref="K813:K843" si="37">IF(J813="","",IF(LEN(J813)&gt;14,IF(ISBLANK(J813),"",J813),REPLACE(REPLACE(J813,1,3,"XXX"),13,2,"XX")))</f>
        <v>XXX737500015XX</v>
      </c>
      <c r="L813" s="391" t="s">
        <v>1996</v>
      </c>
      <c r="M813" s="398" t="s">
        <v>706</v>
      </c>
      <c r="N813" s="399">
        <v>2057887402</v>
      </c>
      <c r="O813" s="399" t="s">
        <v>1525</v>
      </c>
      <c r="P813" s="398" t="s">
        <v>1553</v>
      </c>
    </row>
    <row r="814" spans="1:16" s="401" customFormat="1" ht="36">
      <c r="A814" s="452">
        <f t="shared" si="35"/>
        <v>811</v>
      </c>
      <c r="B814" s="387">
        <v>46100</v>
      </c>
      <c r="C814" s="388">
        <v>46083</v>
      </c>
      <c r="D814" s="389" t="s">
        <v>248</v>
      </c>
      <c r="E814" s="398" t="s">
        <v>597</v>
      </c>
      <c r="F814" s="404">
        <v>143.78</v>
      </c>
      <c r="G814" s="397" t="s">
        <v>1711</v>
      </c>
      <c r="H814" s="389" t="s">
        <v>278</v>
      </c>
      <c r="I814" s="398" t="s">
        <v>1472</v>
      </c>
      <c r="J814" s="399" t="s">
        <v>1473</v>
      </c>
      <c r="K814" s="399" t="s">
        <v>280</v>
      </c>
      <c r="L814" s="391" t="s">
        <v>1996</v>
      </c>
      <c r="M814" s="398" t="s">
        <v>706</v>
      </c>
      <c r="N814" s="399">
        <v>60240</v>
      </c>
      <c r="O814" s="399" t="s">
        <v>1525</v>
      </c>
      <c r="P814" s="398" t="s">
        <v>1553</v>
      </c>
    </row>
    <row r="815" spans="1:16" s="401" customFormat="1" ht="60">
      <c r="A815" s="452">
        <f t="shared" si="35"/>
        <v>812</v>
      </c>
      <c r="B815" s="387">
        <v>46100</v>
      </c>
      <c r="C815" s="388">
        <v>46083</v>
      </c>
      <c r="D815" s="389" t="s">
        <v>248</v>
      </c>
      <c r="E815" s="395" t="s">
        <v>0</v>
      </c>
      <c r="F815" s="404">
        <v>89.9</v>
      </c>
      <c r="G815" s="397" t="s">
        <v>1712</v>
      </c>
      <c r="H815" s="389" t="s">
        <v>278</v>
      </c>
      <c r="I815" s="398" t="s">
        <v>1472</v>
      </c>
      <c r="J815" s="399" t="s">
        <v>1473</v>
      </c>
      <c r="K815" s="394" t="str">
        <f t="shared" si="37"/>
        <v>XXX735210001XX</v>
      </c>
      <c r="L815" s="391" t="s">
        <v>1996</v>
      </c>
      <c r="M815" s="398" t="s">
        <v>706</v>
      </c>
      <c r="N815" s="399">
        <v>4571</v>
      </c>
      <c r="O815" s="399" t="s">
        <v>1525</v>
      </c>
      <c r="P815" s="398" t="s">
        <v>1553</v>
      </c>
    </row>
    <row r="816" spans="1:16" s="401" customFormat="1" ht="48">
      <c r="A816" s="452">
        <f t="shared" si="35"/>
        <v>813</v>
      </c>
      <c r="B816" s="387">
        <v>46100</v>
      </c>
      <c r="C816" s="388">
        <v>46083</v>
      </c>
      <c r="D816" s="389" t="s">
        <v>248</v>
      </c>
      <c r="E816" s="398" t="s">
        <v>1550</v>
      </c>
      <c r="F816" s="404">
        <v>1409.1</v>
      </c>
      <c r="G816" s="397" t="s">
        <v>1713</v>
      </c>
      <c r="H816" s="389" t="s">
        <v>736</v>
      </c>
      <c r="I816" s="398" t="s">
        <v>686</v>
      </c>
      <c r="J816" s="399" t="s">
        <v>687</v>
      </c>
      <c r="K816" s="394" t="str">
        <f t="shared" si="37"/>
        <v>XXX900500001XX</v>
      </c>
      <c r="L816" s="391" t="s">
        <v>1996</v>
      </c>
      <c r="M816" s="398" t="s">
        <v>719</v>
      </c>
      <c r="N816" s="399">
        <v>3090</v>
      </c>
      <c r="O816" s="399" t="s">
        <v>1527</v>
      </c>
      <c r="P816" s="398" t="s">
        <v>1554</v>
      </c>
    </row>
    <row r="817" spans="1:16" s="401" customFormat="1" ht="48">
      <c r="A817" s="452">
        <f t="shared" si="35"/>
        <v>814</v>
      </c>
      <c r="B817" s="387">
        <v>46100</v>
      </c>
      <c r="C817" s="388">
        <v>46083</v>
      </c>
      <c r="D817" s="389" t="s">
        <v>248</v>
      </c>
      <c r="E817" s="395" t="s">
        <v>457</v>
      </c>
      <c r="F817" s="404">
        <v>100</v>
      </c>
      <c r="G817" s="397" t="s">
        <v>1714</v>
      </c>
      <c r="H817" s="389" t="s">
        <v>278</v>
      </c>
      <c r="I817" s="398" t="s">
        <v>881</v>
      </c>
      <c r="J817" s="399" t="s">
        <v>773</v>
      </c>
      <c r="K817" s="394" t="str">
        <f t="shared" si="37"/>
        <v>XXX000000000XX</v>
      </c>
      <c r="L817" s="391" t="s">
        <v>1996</v>
      </c>
      <c r="M817" s="398" t="s">
        <v>710</v>
      </c>
      <c r="N817" s="399">
        <v>836</v>
      </c>
      <c r="O817" s="399" t="s">
        <v>1525</v>
      </c>
      <c r="P817" s="398" t="s">
        <v>735</v>
      </c>
    </row>
    <row r="818" spans="1:16" s="401" customFormat="1" ht="60">
      <c r="A818" s="452">
        <f t="shared" si="35"/>
        <v>815</v>
      </c>
      <c r="B818" s="387">
        <v>46100</v>
      </c>
      <c r="C818" s="388">
        <v>46083</v>
      </c>
      <c r="D818" s="389" t="s">
        <v>248</v>
      </c>
      <c r="E818" s="398" t="s">
        <v>590</v>
      </c>
      <c r="F818" s="404">
        <v>13204.38</v>
      </c>
      <c r="G818" s="397" t="s">
        <v>1715</v>
      </c>
      <c r="H818" s="389" t="s">
        <v>736</v>
      </c>
      <c r="I818" s="398" t="s">
        <v>1493</v>
      </c>
      <c r="J818" s="399" t="s">
        <v>1494</v>
      </c>
      <c r="K818" s="394" t="str">
        <f t="shared" si="37"/>
        <v>XXX621330001XX</v>
      </c>
      <c r="L818" s="391" t="s">
        <v>1996</v>
      </c>
      <c r="M818" s="398" t="s">
        <v>707</v>
      </c>
      <c r="N818" s="399">
        <v>703</v>
      </c>
      <c r="O818" s="399" t="s">
        <v>1532</v>
      </c>
      <c r="P818" s="398" t="s">
        <v>1554</v>
      </c>
    </row>
    <row r="819" spans="1:16" s="401" customFormat="1" ht="36">
      <c r="A819" s="452">
        <f t="shared" si="35"/>
        <v>816</v>
      </c>
      <c r="B819" s="387">
        <v>46100</v>
      </c>
      <c r="C819" s="388">
        <v>46083</v>
      </c>
      <c r="D819" s="389" t="s">
        <v>248</v>
      </c>
      <c r="E819" s="398" t="s">
        <v>591</v>
      </c>
      <c r="F819" s="404">
        <v>203.81</v>
      </c>
      <c r="G819" s="397" t="s">
        <v>1716</v>
      </c>
      <c r="H819" s="389" t="s">
        <v>736</v>
      </c>
      <c r="I819" s="398" t="s">
        <v>1495</v>
      </c>
      <c r="J819" s="399" t="s">
        <v>1496</v>
      </c>
      <c r="K819" s="394" t="str">
        <f t="shared" si="37"/>
        <v>XXX864720001XX</v>
      </c>
      <c r="L819" s="391" t="s">
        <v>1996</v>
      </c>
      <c r="M819" s="398" t="s">
        <v>706</v>
      </c>
      <c r="N819" s="399">
        <v>2057887407</v>
      </c>
      <c r="O819" s="399" t="s">
        <v>1525</v>
      </c>
      <c r="P819" s="398" t="s">
        <v>1553</v>
      </c>
    </row>
    <row r="820" spans="1:16" s="401" customFormat="1" ht="48">
      <c r="A820" s="452">
        <f t="shared" si="35"/>
        <v>817</v>
      </c>
      <c r="B820" s="387">
        <v>46100</v>
      </c>
      <c r="C820" s="388">
        <v>46083</v>
      </c>
      <c r="D820" s="389" t="s">
        <v>248</v>
      </c>
      <c r="E820" s="398" t="s">
        <v>597</v>
      </c>
      <c r="F820" s="404">
        <v>48.34</v>
      </c>
      <c r="G820" s="397" t="s">
        <v>1717</v>
      </c>
      <c r="H820" s="389" t="s">
        <v>278</v>
      </c>
      <c r="I820" s="398" t="s">
        <v>1472</v>
      </c>
      <c r="J820" s="399" t="s">
        <v>1473</v>
      </c>
      <c r="K820" s="394" t="str">
        <f t="shared" si="37"/>
        <v>XXX735210001XX</v>
      </c>
      <c r="L820" s="391" t="s">
        <v>1996</v>
      </c>
      <c r="M820" s="398" t="s">
        <v>706</v>
      </c>
      <c r="N820" s="399">
        <v>54035</v>
      </c>
      <c r="O820" s="399" t="s">
        <v>1525</v>
      </c>
      <c r="P820" s="398" t="s">
        <v>1553</v>
      </c>
    </row>
    <row r="821" spans="1:16" s="401" customFormat="1" ht="72">
      <c r="A821" s="452">
        <f t="shared" si="35"/>
        <v>818</v>
      </c>
      <c r="B821" s="387">
        <v>46101</v>
      </c>
      <c r="C821" s="388">
        <v>46055</v>
      </c>
      <c r="D821" s="389" t="s">
        <v>248</v>
      </c>
      <c r="E821" s="395" t="s">
        <v>78</v>
      </c>
      <c r="F821" s="404">
        <v>100.9</v>
      </c>
      <c r="G821" s="397" t="s">
        <v>1932</v>
      </c>
      <c r="H821" s="392" t="s">
        <v>1029</v>
      </c>
      <c r="I821" s="398" t="s">
        <v>668</v>
      </c>
      <c r="J821" s="399" t="s">
        <v>669</v>
      </c>
      <c r="K821" s="394" t="str">
        <f t="shared" si="37"/>
        <v>XXX077460001XX</v>
      </c>
      <c r="L821" s="391" t="s">
        <v>1996</v>
      </c>
      <c r="M821" s="398" t="s">
        <v>722</v>
      </c>
      <c r="N821" s="399">
        <v>398</v>
      </c>
      <c r="O821" s="399" t="s">
        <v>1179</v>
      </c>
      <c r="P821" s="398" t="s">
        <v>1553</v>
      </c>
    </row>
    <row r="822" spans="1:16" s="401" customFormat="1" ht="72">
      <c r="A822" s="452">
        <f t="shared" si="35"/>
        <v>819</v>
      </c>
      <c r="B822" s="387">
        <v>46101</v>
      </c>
      <c r="C822" s="388">
        <v>46055</v>
      </c>
      <c r="D822" s="389" t="s">
        <v>248</v>
      </c>
      <c r="E822" s="395" t="s">
        <v>78</v>
      </c>
      <c r="F822" s="404">
        <v>1109.8800000000001</v>
      </c>
      <c r="G822" s="397" t="s">
        <v>1896</v>
      </c>
      <c r="H822" s="392" t="s">
        <v>1029</v>
      </c>
      <c r="I822" s="398" t="s">
        <v>672</v>
      </c>
      <c r="J822" s="399" t="s">
        <v>673</v>
      </c>
      <c r="K822" s="394" t="str">
        <f t="shared" si="37"/>
        <v>XXX944600058XX</v>
      </c>
      <c r="L822" s="391" t="s">
        <v>1996</v>
      </c>
      <c r="M822" s="398" t="s">
        <v>723</v>
      </c>
      <c r="N822" s="399">
        <v>398</v>
      </c>
      <c r="O822" s="399" t="s">
        <v>1179</v>
      </c>
      <c r="P822" s="398" t="s">
        <v>1553</v>
      </c>
    </row>
    <row r="823" spans="1:16" s="401" customFormat="1" ht="36">
      <c r="A823" s="452">
        <f t="shared" si="35"/>
        <v>820</v>
      </c>
      <c r="B823" s="387">
        <v>46101</v>
      </c>
      <c r="C823" s="388">
        <v>46055</v>
      </c>
      <c r="D823" s="389" t="s">
        <v>248</v>
      </c>
      <c r="E823" s="398" t="s">
        <v>595</v>
      </c>
      <c r="F823" s="404">
        <v>35</v>
      </c>
      <c r="G823" s="397" t="s">
        <v>1933</v>
      </c>
      <c r="H823" s="392" t="s">
        <v>278</v>
      </c>
      <c r="I823" s="398" t="s">
        <v>668</v>
      </c>
      <c r="J823" s="399" t="s">
        <v>669</v>
      </c>
      <c r="K823" s="394" t="str">
        <f t="shared" si="37"/>
        <v>XXX077460001XX</v>
      </c>
      <c r="L823" s="391" t="s">
        <v>1996</v>
      </c>
      <c r="M823" s="398" t="s">
        <v>722</v>
      </c>
      <c r="N823" s="399">
        <v>15328</v>
      </c>
      <c r="O823" s="399" t="s">
        <v>1181</v>
      </c>
      <c r="P823" s="398" t="s">
        <v>1554</v>
      </c>
    </row>
    <row r="824" spans="1:16" s="401" customFormat="1" ht="60">
      <c r="A824" s="452">
        <f t="shared" si="35"/>
        <v>821</v>
      </c>
      <c r="B824" s="387">
        <v>46101</v>
      </c>
      <c r="C824" s="388">
        <v>46055</v>
      </c>
      <c r="D824" s="389" t="s">
        <v>248</v>
      </c>
      <c r="E824" s="398" t="s">
        <v>593</v>
      </c>
      <c r="F824" s="404">
        <v>1637.53</v>
      </c>
      <c r="G824" s="397" t="s">
        <v>1934</v>
      </c>
      <c r="H824" s="389" t="s">
        <v>736</v>
      </c>
      <c r="I824" s="398" t="s">
        <v>668</v>
      </c>
      <c r="J824" s="399" t="s">
        <v>669</v>
      </c>
      <c r="K824" s="394" t="str">
        <f t="shared" si="37"/>
        <v>XXX077460001XX</v>
      </c>
      <c r="L824" s="391" t="s">
        <v>1996</v>
      </c>
      <c r="M824" s="398" t="s">
        <v>722</v>
      </c>
      <c r="N824" s="399">
        <v>1</v>
      </c>
      <c r="O824" s="399" t="s">
        <v>1178</v>
      </c>
      <c r="P824" s="398" t="s">
        <v>1553</v>
      </c>
    </row>
    <row r="825" spans="1:16" s="401" customFormat="1" ht="48">
      <c r="A825" s="452">
        <f t="shared" si="35"/>
        <v>822</v>
      </c>
      <c r="B825" s="387">
        <v>46101</v>
      </c>
      <c r="C825" s="388">
        <v>46055</v>
      </c>
      <c r="D825" s="389" t="s">
        <v>248</v>
      </c>
      <c r="E825" s="395" t="s">
        <v>87</v>
      </c>
      <c r="F825" s="404">
        <v>1386.34</v>
      </c>
      <c r="G825" s="397" t="s">
        <v>1718</v>
      </c>
      <c r="H825" s="389" t="s">
        <v>278</v>
      </c>
      <c r="I825" s="398" t="s">
        <v>674</v>
      </c>
      <c r="J825" s="399" t="s">
        <v>675</v>
      </c>
      <c r="K825" s="394" t="str">
        <f t="shared" si="37"/>
        <v>XXX414630001XX</v>
      </c>
      <c r="L825" s="391" t="s">
        <v>1996</v>
      </c>
      <c r="M825" s="398" t="s">
        <v>913</v>
      </c>
      <c r="N825" s="399">
        <v>1505</v>
      </c>
      <c r="O825" s="399" t="s">
        <v>1189</v>
      </c>
      <c r="P825" s="398" t="s">
        <v>1553</v>
      </c>
    </row>
    <row r="826" spans="1:16" s="401" customFormat="1" ht="36">
      <c r="A826" s="452">
        <f t="shared" si="35"/>
        <v>823</v>
      </c>
      <c r="B826" s="387">
        <v>46101</v>
      </c>
      <c r="C826" s="388">
        <v>46055</v>
      </c>
      <c r="D826" s="389" t="s">
        <v>248</v>
      </c>
      <c r="E826" s="395" t="s">
        <v>78</v>
      </c>
      <c r="F826" s="404">
        <v>469.17</v>
      </c>
      <c r="G826" s="397" t="s">
        <v>1873</v>
      </c>
      <c r="H826" s="389" t="s">
        <v>1029</v>
      </c>
      <c r="I826" s="398" t="s">
        <v>668</v>
      </c>
      <c r="J826" s="399" t="s">
        <v>669</v>
      </c>
      <c r="K826" s="394" t="str">
        <f t="shared" si="37"/>
        <v>XXX077460001XX</v>
      </c>
      <c r="L826" s="391" t="s">
        <v>1996</v>
      </c>
      <c r="M826" s="398" t="s">
        <v>721</v>
      </c>
      <c r="N826" s="399">
        <v>398</v>
      </c>
      <c r="O826" s="399" t="s">
        <v>1179</v>
      </c>
      <c r="P826" s="398" t="s">
        <v>1553</v>
      </c>
    </row>
    <row r="827" spans="1:16" s="401" customFormat="1" ht="36">
      <c r="A827" s="452">
        <f t="shared" si="35"/>
        <v>824</v>
      </c>
      <c r="B827" s="387">
        <v>46101</v>
      </c>
      <c r="C827" s="388">
        <v>46055</v>
      </c>
      <c r="D827" s="389" t="s">
        <v>248</v>
      </c>
      <c r="E827" s="398" t="s">
        <v>602</v>
      </c>
      <c r="F827" s="404">
        <v>41.25</v>
      </c>
      <c r="G827" s="397" t="s">
        <v>1935</v>
      </c>
      <c r="H827" s="389" t="s">
        <v>278</v>
      </c>
      <c r="I827" s="398" t="s">
        <v>668</v>
      </c>
      <c r="J827" s="399" t="s">
        <v>669</v>
      </c>
      <c r="K827" s="394" t="str">
        <f t="shared" si="37"/>
        <v>XXX077460001XX</v>
      </c>
      <c r="L827" s="391" t="s">
        <v>1996</v>
      </c>
      <c r="M827" s="398" t="s">
        <v>722</v>
      </c>
      <c r="N827" s="399">
        <v>119</v>
      </c>
      <c r="O827" s="399" t="s">
        <v>1181</v>
      </c>
      <c r="P827" s="398" t="s">
        <v>1553</v>
      </c>
    </row>
    <row r="828" spans="1:16" s="401" customFormat="1" ht="36">
      <c r="A828" s="452">
        <f t="shared" si="35"/>
        <v>825</v>
      </c>
      <c r="B828" s="387">
        <v>46101</v>
      </c>
      <c r="C828" s="388">
        <v>46055</v>
      </c>
      <c r="D828" s="389" t="s">
        <v>248</v>
      </c>
      <c r="E828" s="395" t="s">
        <v>477</v>
      </c>
      <c r="F828" s="404">
        <v>39.64</v>
      </c>
      <c r="G828" s="397" t="s">
        <v>1936</v>
      </c>
      <c r="H828" s="389" t="s">
        <v>738</v>
      </c>
      <c r="I828" s="398" t="s">
        <v>668</v>
      </c>
      <c r="J828" s="399" t="s">
        <v>669</v>
      </c>
      <c r="K828" s="394" t="str">
        <f t="shared" si="37"/>
        <v>XXX077460001XX</v>
      </c>
      <c r="L828" s="391" t="s">
        <v>1996</v>
      </c>
      <c r="M828" s="398" t="s">
        <v>722</v>
      </c>
      <c r="N828" s="399">
        <v>306</v>
      </c>
      <c r="O828" s="399" t="s">
        <v>1199</v>
      </c>
      <c r="P828" s="398" t="s">
        <v>1554</v>
      </c>
    </row>
    <row r="829" spans="1:16" s="401" customFormat="1" ht="95.25" customHeight="1">
      <c r="A829" s="452">
        <f t="shared" si="35"/>
        <v>826</v>
      </c>
      <c r="B829" s="387">
        <v>46101</v>
      </c>
      <c r="C829" s="388">
        <v>46055</v>
      </c>
      <c r="D829" s="389" t="s">
        <v>248</v>
      </c>
      <c r="E829" s="398" t="s">
        <v>758</v>
      </c>
      <c r="F829" s="404">
        <v>966.89</v>
      </c>
      <c r="G829" s="397" t="s">
        <v>1937</v>
      </c>
      <c r="H829" s="389" t="s">
        <v>738</v>
      </c>
      <c r="I829" s="398" t="s">
        <v>668</v>
      </c>
      <c r="J829" s="399" t="s">
        <v>669</v>
      </c>
      <c r="K829" s="394" t="str">
        <f t="shared" si="37"/>
        <v>XXX077460001XX</v>
      </c>
      <c r="L829" s="391" t="s">
        <v>1996</v>
      </c>
      <c r="M829" s="398" t="s">
        <v>722</v>
      </c>
      <c r="N829" s="399">
        <v>162</v>
      </c>
      <c r="O829" s="399" t="s">
        <v>1195</v>
      </c>
      <c r="P829" s="398" t="s">
        <v>1553</v>
      </c>
    </row>
    <row r="830" spans="1:16" s="401" customFormat="1" ht="84.75" customHeight="1">
      <c r="A830" s="452">
        <f t="shared" si="35"/>
        <v>827</v>
      </c>
      <c r="B830" s="387">
        <v>46101</v>
      </c>
      <c r="C830" s="388">
        <v>46055</v>
      </c>
      <c r="D830" s="389" t="s">
        <v>248</v>
      </c>
      <c r="E830" s="398" t="s">
        <v>758</v>
      </c>
      <c r="F830" s="404">
        <v>10635.79</v>
      </c>
      <c r="G830" s="397" t="s">
        <v>1897</v>
      </c>
      <c r="H830" s="389" t="s">
        <v>738</v>
      </c>
      <c r="I830" s="398" t="s">
        <v>672</v>
      </c>
      <c r="J830" s="399" t="s">
        <v>673</v>
      </c>
      <c r="K830" s="394" t="str">
        <f t="shared" si="37"/>
        <v>XXX944600058XX</v>
      </c>
      <c r="L830" s="391" t="s">
        <v>1996</v>
      </c>
      <c r="M830" s="398" t="s">
        <v>723</v>
      </c>
      <c r="N830" s="399">
        <v>162</v>
      </c>
      <c r="O830" s="399" t="s">
        <v>1195</v>
      </c>
      <c r="P830" s="398" t="s">
        <v>1553</v>
      </c>
    </row>
    <row r="831" spans="1:16" s="401" customFormat="1" ht="96">
      <c r="A831" s="452">
        <f t="shared" si="35"/>
        <v>828</v>
      </c>
      <c r="B831" s="387">
        <v>46101</v>
      </c>
      <c r="C831" s="388">
        <v>46055</v>
      </c>
      <c r="D831" s="389" t="s">
        <v>248</v>
      </c>
      <c r="E831" s="398" t="s">
        <v>595</v>
      </c>
      <c r="F831" s="404">
        <v>34.47</v>
      </c>
      <c r="G831" s="397" t="s">
        <v>1938</v>
      </c>
      <c r="H831" s="389" t="s">
        <v>278</v>
      </c>
      <c r="I831" s="398" t="s">
        <v>668</v>
      </c>
      <c r="J831" s="399" t="s">
        <v>669</v>
      </c>
      <c r="K831" s="394" t="str">
        <f t="shared" si="37"/>
        <v>XXX077460001XX</v>
      </c>
      <c r="L831" s="391" t="s">
        <v>1996</v>
      </c>
      <c r="M831" s="398" t="s">
        <v>722</v>
      </c>
      <c r="N831" s="399">
        <v>494</v>
      </c>
      <c r="O831" s="399" t="s">
        <v>1178</v>
      </c>
      <c r="P831" s="398" t="s">
        <v>1554</v>
      </c>
    </row>
    <row r="832" spans="1:16" s="401" customFormat="1" ht="96">
      <c r="A832" s="452">
        <f t="shared" si="35"/>
        <v>829</v>
      </c>
      <c r="B832" s="387">
        <v>46101</v>
      </c>
      <c r="C832" s="388">
        <v>46055</v>
      </c>
      <c r="D832" s="389" t="s">
        <v>248</v>
      </c>
      <c r="E832" s="398" t="s">
        <v>595</v>
      </c>
      <c r="F832" s="404">
        <v>252.78</v>
      </c>
      <c r="G832" s="397" t="s">
        <v>1898</v>
      </c>
      <c r="H832" s="389" t="s">
        <v>278</v>
      </c>
      <c r="I832" s="398" t="s">
        <v>672</v>
      </c>
      <c r="J832" s="399" t="s">
        <v>673</v>
      </c>
      <c r="K832" s="394" t="str">
        <f t="shared" si="37"/>
        <v>XXX944600058XX</v>
      </c>
      <c r="L832" s="391" t="s">
        <v>1996</v>
      </c>
      <c r="M832" s="398" t="s">
        <v>723</v>
      </c>
      <c r="N832" s="399">
        <v>494</v>
      </c>
      <c r="O832" s="399" t="s">
        <v>1178</v>
      </c>
      <c r="P832" s="398" t="s">
        <v>1554</v>
      </c>
    </row>
    <row r="833" spans="1:16" s="401" customFormat="1" ht="48">
      <c r="A833" s="452">
        <f t="shared" si="35"/>
        <v>830</v>
      </c>
      <c r="B833" s="387">
        <v>46101</v>
      </c>
      <c r="C833" s="388">
        <v>46055</v>
      </c>
      <c r="D833" s="389" t="s">
        <v>248</v>
      </c>
      <c r="E833" s="398" t="s">
        <v>604</v>
      </c>
      <c r="F833" s="404">
        <v>119.59</v>
      </c>
      <c r="G833" s="397" t="s">
        <v>1939</v>
      </c>
      <c r="H833" s="389" t="s">
        <v>1029</v>
      </c>
      <c r="I833" s="398" t="s">
        <v>668</v>
      </c>
      <c r="J833" s="399" t="s">
        <v>669</v>
      </c>
      <c r="K833" s="399" t="s">
        <v>280</v>
      </c>
      <c r="L833" s="391" t="s">
        <v>1996</v>
      </c>
      <c r="M833" s="398" t="s">
        <v>722</v>
      </c>
      <c r="N833" s="399">
        <v>2254211</v>
      </c>
      <c r="O833" s="399" t="s">
        <v>1188</v>
      </c>
      <c r="P833" s="398" t="s">
        <v>1554</v>
      </c>
    </row>
    <row r="834" spans="1:16" s="401" customFormat="1" ht="36">
      <c r="A834" s="452">
        <f t="shared" si="35"/>
        <v>831</v>
      </c>
      <c r="B834" s="387">
        <v>46101</v>
      </c>
      <c r="C834" s="388">
        <v>46055</v>
      </c>
      <c r="D834" s="389" t="s">
        <v>248</v>
      </c>
      <c r="E834" s="398" t="s">
        <v>604</v>
      </c>
      <c r="F834" s="404">
        <v>1315.48</v>
      </c>
      <c r="G834" s="397" t="s">
        <v>1899</v>
      </c>
      <c r="H834" s="389" t="s">
        <v>1029</v>
      </c>
      <c r="I834" s="398" t="s">
        <v>672</v>
      </c>
      <c r="J834" s="399" t="s">
        <v>673</v>
      </c>
      <c r="K834" s="394" t="str">
        <f t="shared" si="37"/>
        <v>XXX944600058XX</v>
      </c>
      <c r="L834" s="391" t="s">
        <v>1996</v>
      </c>
      <c r="M834" s="398" t="s">
        <v>723</v>
      </c>
      <c r="N834" s="399">
        <v>2254211</v>
      </c>
      <c r="O834" s="399" t="s">
        <v>1188</v>
      </c>
      <c r="P834" s="398" t="s">
        <v>1554</v>
      </c>
    </row>
    <row r="835" spans="1:16" s="401" customFormat="1" ht="48">
      <c r="A835" s="452">
        <f t="shared" si="35"/>
        <v>832</v>
      </c>
      <c r="B835" s="387">
        <v>46101</v>
      </c>
      <c r="C835" s="388">
        <v>46055</v>
      </c>
      <c r="D835" s="389" t="s">
        <v>248</v>
      </c>
      <c r="E835" s="395" t="s">
        <v>78</v>
      </c>
      <c r="F835" s="404">
        <v>26.4</v>
      </c>
      <c r="G835" s="397" t="s">
        <v>1940</v>
      </c>
      <c r="H835" s="389" t="s">
        <v>278</v>
      </c>
      <c r="I835" s="398" t="s">
        <v>668</v>
      </c>
      <c r="J835" s="399" t="s">
        <v>669</v>
      </c>
      <c r="K835" s="394" t="str">
        <f t="shared" si="37"/>
        <v>XXX077460001XX</v>
      </c>
      <c r="L835" s="391" t="s">
        <v>1996</v>
      </c>
      <c r="M835" s="398" t="s">
        <v>722</v>
      </c>
      <c r="N835" s="399">
        <v>17</v>
      </c>
      <c r="O835" s="399" t="s">
        <v>1519</v>
      </c>
      <c r="P835" s="398" t="s">
        <v>1553</v>
      </c>
    </row>
    <row r="836" spans="1:16" s="401" customFormat="1" ht="48">
      <c r="A836" s="452">
        <f t="shared" ref="A836:A899" si="38">IF(B836="","",ROW()-ROW($A$3))</f>
        <v>833</v>
      </c>
      <c r="B836" s="387">
        <v>46101</v>
      </c>
      <c r="C836" s="388">
        <v>46055</v>
      </c>
      <c r="D836" s="389" t="s">
        <v>248</v>
      </c>
      <c r="E836" s="395" t="s">
        <v>78</v>
      </c>
      <c r="F836" s="404">
        <v>290.39999999999998</v>
      </c>
      <c r="G836" s="397" t="s">
        <v>1900</v>
      </c>
      <c r="H836" s="389" t="s">
        <v>278</v>
      </c>
      <c r="I836" s="398" t="s">
        <v>672</v>
      </c>
      <c r="J836" s="399" t="s">
        <v>673</v>
      </c>
      <c r="K836" s="394" t="str">
        <f t="shared" si="37"/>
        <v>XXX944600058XX</v>
      </c>
      <c r="L836" s="391" t="s">
        <v>1996</v>
      </c>
      <c r="M836" s="398" t="s">
        <v>723</v>
      </c>
      <c r="N836" s="399">
        <v>17</v>
      </c>
      <c r="O836" s="399" t="s">
        <v>1519</v>
      </c>
      <c r="P836" s="398" t="s">
        <v>1553</v>
      </c>
    </row>
    <row r="837" spans="1:16" s="401" customFormat="1" ht="36">
      <c r="A837" s="452">
        <f t="shared" si="38"/>
        <v>834</v>
      </c>
      <c r="B837" s="387">
        <v>46101</v>
      </c>
      <c r="C837" s="388">
        <v>46055</v>
      </c>
      <c r="D837" s="389" t="s">
        <v>248</v>
      </c>
      <c r="E837" s="395" t="s">
        <v>455</v>
      </c>
      <c r="F837" s="404">
        <v>517.39</v>
      </c>
      <c r="G837" s="397" t="s">
        <v>1941</v>
      </c>
      <c r="H837" s="389" t="s">
        <v>738</v>
      </c>
      <c r="I837" s="398" t="s">
        <v>668</v>
      </c>
      <c r="J837" s="399" t="s">
        <v>669</v>
      </c>
      <c r="K837" s="394" t="str">
        <f t="shared" si="37"/>
        <v>XXX077460001XX</v>
      </c>
      <c r="L837" s="391" t="s">
        <v>1996</v>
      </c>
      <c r="M837" s="398" t="s">
        <v>722</v>
      </c>
      <c r="N837" s="399">
        <v>124</v>
      </c>
      <c r="O837" s="399" t="s">
        <v>1191</v>
      </c>
      <c r="P837" s="398" t="s">
        <v>1554</v>
      </c>
    </row>
    <row r="838" spans="1:16" s="401" customFormat="1" ht="36">
      <c r="A838" s="452">
        <f t="shared" si="38"/>
        <v>835</v>
      </c>
      <c r="B838" s="387">
        <v>46101</v>
      </c>
      <c r="C838" s="388">
        <v>46055</v>
      </c>
      <c r="D838" s="389" t="s">
        <v>248</v>
      </c>
      <c r="E838" s="395" t="s">
        <v>455</v>
      </c>
      <c r="F838" s="404">
        <v>5691.24</v>
      </c>
      <c r="G838" s="397" t="s">
        <v>1901</v>
      </c>
      <c r="H838" s="389" t="s">
        <v>738</v>
      </c>
      <c r="I838" s="398" t="s">
        <v>672</v>
      </c>
      <c r="J838" s="399" t="s">
        <v>673</v>
      </c>
      <c r="K838" s="394" t="str">
        <f t="shared" si="37"/>
        <v>XXX944600058XX</v>
      </c>
      <c r="L838" s="391" t="s">
        <v>1996</v>
      </c>
      <c r="M838" s="398" t="s">
        <v>723</v>
      </c>
      <c r="N838" s="399">
        <v>124</v>
      </c>
      <c r="O838" s="399" t="s">
        <v>1191</v>
      </c>
      <c r="P838" s="398" t="s">
        <v>1554</v>
      </c>
    </row>
    <row r="839" spans="1:16" s="401" customFormat="1" ht="36">
      <c r="A839" s="452">
        <f t="shared" si="38"/>
        <v>836</v>
      </c>
      <c r="B839" s="387">
        <v>46101</v>
      </c>
      <c r="C839" s="388">
        <v>46055</v>
      </c>
      <c r="D839" s="389" t="s">
        <v>166</v>
      </c>
      <c r="E839" s="398" t="s">
        <v>581</v>
      </c>
      <c r="F839" s="404">
        <v>10.94</v>
      </c>
      <c r="G839" s="397" t="s">
        <v>1942</v>
      </c>
      <c r="H839" s="389" t="s">
        <v>166</v>
      </c>
      <c r="I839" s="398" t="s">
        <v>668</v>
      </c>
      <c r="J839" s="399" t="s">
        <v>669</v>
      </c>
      <c r="K839" s="394" t="str">
        <f t="shared" si="37"/>
        <v>XXX077460001XX</v>
      </c>
      <c r="L839" s="391" t="s">
        <v>1996</v>
      </c>
      <c r="M839" s="398" t="s">
        <v>722</v>
      </c>
      <c r="N839" s="399">
        <v>7536</v>
      </c>
      <c r="O839" s="399" t="s">
        <v>1519</v>
      </c>
      <c r="P839" s="398" t="s">
        <v>1553</v>
      </c>
    </row>
    <row r="840" spans="1:16" s="401" customFormat="1" ht="48">
      <c r="A840" s="452">
        <f t="shared" si="38"/>
        <v>837</v>
      </c>
      <c r="B840" s="387">
        <v>46101</v>
      </c>
      <c r="C840" s="388">
        <v>46055</v>
      </c>
      <c r="D840" s="389" t="s">
        <v>248</v>
      </c>
      <c r="E840" s="395" t="s">
        <v>78</v>
      </c>
      <c r="F840" s="404">
        <v>10.67</v>
      </c>
      <c r="G840" s="397" t="s">
        <v>1943</v>
      </c>
      <c r="H840" s="392" t="s">
        <v>278</v>
      </c>
      <c r="I840" s="398" t="s">
        <v>668</v>
      </c>
      <c r="J840" s="399" t="s">
        <v>669</v>
      </c>
      <c r="K840" s="394" t="str">
        <f t="shared" si="37"/>
        <v>XXX077460001XX</v>
      </c>
      <c r="L840" s="391" t="s">
        <v>1996</v>
      </c>
      <c r="M840" s="398" t="s">
        <v>722</v>
      </c>
      <c r="N840" s="399">
        <v>125</v>
      </c>
      <c r="O840" s="399" t="s">
        <v>1191</v>
      </c>
      <c r="P840" s="398" t="s">
        <v>1553</v>
      </c>
    </row>
    <row r="841" spans="1:16" s="439" customFormat="1" ht="48">
      <c r="A841" s="452">
        <f t="shared" si="38"/>
        <v>838</v>
      </c>
      <c r="B841" s="387">
        <v>46101</v>
      </c>
      <c r="C841" s="388">
        <v>46055</v>
      </c>
      <c r="D841" s="389" t="s">
        <v>248</v>
      </c>
      <c r="E841" s="395" t="s">
        <v>78</v>
      </c>
      <c r="F841" s="404">
        <v>117.36</v>
      </c>
      <c r="G841" s="397" t="s">
        <v>1902</v>
      </c>
      <c r="H841" s="392" t="s">
        <v>278</v>
      </c>
      <c r="I841" s="398" t="s">
        <v>672</v>
      </c>
      <c r="J841" s="399" t="s">
        <v>673</v>
      </c>
      <c r="K841" s="394" t="str">
        <f t="shared" si="37"/>
        <v>XXX944600058XX</v>
      </c>
      <c r="L841" s="391" t="s">
        <v>1996</v>
      </c>
      <c r="M841" s="398" t="s">
        <v>723</v>
      </c>
      <c r="N841" s="399">
        <v>125</v>
      </c>
      <c r="O841" s="399" t="s">
        <v>1191</v>
      </c>
      <c r="P841" s="398" t="s">
        <v>1553</v>
      </c>
    </row>
    <row r="842" spans="1:16" s="401" customFormat="1" ht="36">
      <c r="A842" s="452">
        <f t="shared" si="38"/>
        <v>839</v>
      </c>
      <c r="B842" s="387">
        <v>46101</v>
      </c>
      <c r="C842" s="388">
        <v>46055</v>
      </c>
      <c r="D842" s="389" t="s">
        <v>166</v>
      </c>
      <c r="E842" s="398" t="s">
        <v>603</v>
      </c>
      <c r="F842" s="404">
        <v>57.56</v>
      </c>
      <c r="G842" s="397" t="s">
        <v>1944</v>
      </c>
      <c r="H842" s="389" t="s">
        <v>166</v>
      </c>
      <c r="I842" s="398" t="s">
        <v>668</v>
      </c>
      <c r="J842" s="399" t="s">
        <v>669</v>
      </c>
      <c r="K842" s="394" t="str">
        <f t="shared" si="37"/>
        <v>XXX077460001XX</v>
      </c>
      <c r="L842" s="391" t="s">
        <v>1996</v>
      </c>
      <c r="M842" s="398" t="s">
        <v>724</v>
      </c>
      <c r="N842" s="399">
        <v>2026115050</v>
      </c>
      <c r="O842" s="399" t="s">
        <v>1181</v>
      </c>
      <c r="P842" s="398" t="s">
        <v>1555</v>
      </c>
    </row>
    <row r="843" spans="1:16" s="401" customFormat="1" ht="156">
      <c r="A843" s="452">
        <f t="shared" si="38"/>
        <v>840</v>
      </c>
      <c r="B843" s="387">
        <v>46101</v>
      </c>
      <c r="C843" s="388">
        <v>46083</v>
      </c>
      <c r="D843" s="389" t="s">
        <v>248</v>
      </c>
      <c r="E843" s="393" t="s">
        <v>170</v>
      </c>
      <c r="F843" s="404">
        <v>38403.75</v>
      </c>
      <c r="G843" s="397" t="s">
        <v>1719</v>
      </c>
      <c r="H843" s="389" t="s">
        <v>278</v>
      </c>
      <c r="I843" s="398" t="s">
        <v>1497</v>
      </c>
      <c r="J843" s="399" t="s">
        <v>1498</v>
      </c>
      <c r="K843" s="394" t="str">
        <f t="shared" si="37"/>
        <v>XXX626360001XX</v>
      </c>
      <c r="L843" s="391" t="s">
        <v>1996</v>
      </c>
      <c r="M843" s="398" t="s">
        <v>719</v>
      </c>
      <c r="N843" s="399">
        <v>452</v>
      </c>
      <c r="O843" s="399" t="s">
        <v>1530</v>
      </c>
      <c r="P843" s="398" t="s">
        <v>1553</v>
      </c>
    </row>
    <row r="844" spans="1:16" s="401" customFormat="1" ht="60">
      <c r="A844" s="452">
        <f t="shared" si="38"/>
        <v>841</v>
      </c>
      <c r="B844" s="387">
        <v>46101</v>
      </c>
      <c r="C844" s="388">
        <v>46083</v>
      </c>
      <c r="D844" s="389" t="s">
        <v>248</v>
      </c>
      <c r="E844" s="393" t="s">
        <v>164</v>
      </c>
      <c r="F844" s="404">
        <v>8145.84</v>
      </c>
      <c r="G844" s="397" t="s">
        <v>1720</v>
      </c>
      <c r="H844" s="392" t="s">
        <v>278</v>
      </c>
      <c r="I844" s="398" t="s">
        <v>678</v>
      </c>
      <c r="J844" s="399" t="s">
        <v>679</v>
      </c>
      <c r="K844" s="394" t="str">
        <f t="shared" ref="K844:K876" si="39">IF(J844="","",IF(LEN(J844)&gt;14,IF(ISBLANK(J844),"",J844),REPLACE(REPLACE(J844,1,3,"XXX"),13,2,"XX")))</f>
        <v>XXX140620001XX</v>
      </c>
      <c r="L844" s="391" t="s">
        <v>1996</v>
      </c>
      <c r="M844" s="398" t="s">
        <v>704</v>
      </c>
      <c r="N844" s="399">
        <v>11664</v>
      </c>
      <c r="O844" s="399" t="s">
        <v>1524</v>
      </c>
      <c r="P844" s="398" t="s">
        <v>1553</v>
      </c>
    </row>
    <row r="845" spans="1:16" s="401" customFormat="1" ht="36">
      <c r="A845" s="452">
        <f t="shared" si="38"/>
        <v>842</v>
      </c>
      <c r="B845" s="387">
        <v>46101</v>
      </c>
      <c r="C845" s="388">
        <v>46083</v>
      </c>
      <c r="D845" s="389" t="s">
        <v>248</v>
      </c>
      <c r="E845" s="398" t="s">
        <v>590</v>
      </c>
      <c r="F845" s="404">
        <v>140.88999999999999</v>
      </c>
      <c r="G845" s="397" t="s">
        <v>1305</v>
      </c>
      <c r="H845" s="389" t="s">
        <v>736</v>
      </c>
      <c r="I845" s="398" t="s">
        <v>670</v>
      </c>
      <c r="J845" s="399" t="s">
        <v>671</v>
      </c>
      <c r="K845" s="394" t="str">
        <f t="shared" si="39"/>
        <v>XXX902520003XX</v>
      </c>
      <c r="L845" s="391" t="s">
        <v>1996</v>
      </c>
      <c r="M845" s="398" t="s">
        <v>704</v>
      </c>
      <c r="N845" s="399">
        <v>2388912</v>
      </c>
      <c r="O845" s="399" t="s">
        <v>1530</v>
      </c>
      <c r="P845" s="398" t="s">
        <v>1554</v>
      </c>
    </row>
    <row r="846" spans="1:16" s="401" customFormat="1" ht="24">
      <c r="A846" s="452">
        <f t="shared" si="38"/>
        <v>843</v>
      </c>
      <c r="B846" s="387">
        <v>46101</v>
      </c>
      <c r="C846" s="388">
        <v>46055</v>
      </c>
      <c r="D846" s="389" t="s">
        <v>248</v>
      </c>
      <c r="E846" s="398" t="s">
        <v>604</v>
      </c>
      <c r="F846" s="404">
        <v>556.09</v>
      </c>
      <c r="G846" s="397" t="s">
        <v>1873</v>
      </c>
      <c r="H846" s="389" t="s">
        <v>1029</v>
      </c>
      <c r="I846" s="398" t="s">
        <v>668</v>
      </c>
      <c r="J846" s="399" t="s">
        <v>669</v>
      </c>
      <c r="K846" s="394" t="str">
        <f t="shared" si="39"/>
        <v>XXX077460001XX</v>
      </c>
      <c r="L846" s="391" t="s">
        <v>1996</v>
      </c>
      <c r="M846" s="398" t="s">
        <v>721</v>
      </c>
      <c r="N846" s="399">
        <v>2254211</v>
      </c>
      <c r="O846" s="399" t="s">
        <v>1188</v>
      </c>
      <c r="P846" s="398" t="s">
        <v>1554</v>
      </c>
    </row>
    <row r="847" spans="1:16" s="401" customFormat="1" ht="24">
      <c r="A847" s="452">
        <f t="shared" si="38"/>
        <v>844</v>
      </c>
      <c r="B847" s="387">
        <v>46101</v>
      </c>
      <c r="C847" s="388">
        <v>46055</v>
      </c>
      <c r="D847" s="389" t="s">
        <v>248</v>
      </c>
      <c r="E847" s="395" t="s">
        <v>455</v>
      </c>
      <c r="F847" s="404">
        <v>2405.85</v>
      </c>
      <c r="G847" s="397" t="s">
        <v>1873</v>
      </c>
      <c r="H847" s="389" t="s">
        <v>738</v>
      </c>
      <c r="I847" s="398" t="s">
        <v>668</v>
      </c>
      <c r="J847" s="399" t="s">
        <v>669</v>
      </c>
      <c r="K847" s="394" t="str">
        <f t="shared" si="39"/>
        <v>XXX077460001XX</v>
      </c>
      <c r="L847" s="391" t="s">
        <v>1996</v>
      </c>
      <c r="M847" s="398" t="s">
        <v>721</v>
      </c>
      <c r="N847" s="399">
        <v>124</v>
      </c>
      <c r="O847" s="399" t="s">
        <v>1191</v>
      </c>
      <c r="P847" s="398" t="s">
        <v>1554</v>
      </c>
    </row>
    <row r="848" spans="1:16" s="401" customFormat="1" ht="36">
      <c r="A848" s="452">
        <f t="shared" si="38"/>
        <v>845</v>
      </c>
      <c r="B848" s="387">
        <v>46101</v>
      </c>
      <c r="C848" s="388">
        <v>46055</v>
      </c>
      <c r="D848" s="389" t="s">
        <v>248</v>
      </c>
      <c r="E848" s="398" t="s">
        <v>593</v>
      </c>
      <c r="F848" s="404">
        <v>5076.3500000000004</v>
      </c>
      <c r="G848" s="397" t="s">
        <v>1873</v>
      </c>
      <c r="H848" s="389" t="s">
        <v>736</v>
      </c>
      <c r="I848" s="398" t="s">
        <v>668</v>
      </c>
      <c r="J848" s="399" t="s">
        <v>669</v>
      </c>
      <c r="K848" s="394" t="str">
        <f t="shared" si="39"/>
        <v>XXX077460001XX</v>
      </c>
      <c r="L848" s="391" t="s">
        <v>1996</v>
      </c>
      <c r="M848" s="398" t="s">
        <v>721</v>
      </c>
      <c r="N848" s="399">
        <v>1</v>
      </c>
      <c r="O848" s="399" t="s">
        <v>1178</v>
      </c>
      <c r="P848" s="398" t="s">
        <v>1553</v>
      </c>
    </row>
    <row r="849" spans="1:16" s="401" customFormat="1" ht="36">
      <c r="A849" s="452">
        <f t="shared" si="38"/>
        <v>846</v>
      </c>
      <c r="B849" s="387">
        <v>46101</v>
      </c>
      <c r="C849" s="388">
        <v>46055</v>
      </c>
      <c r="D849" s="389" t="s">
        <v>248</v>
      </c>
      <c r="E849" s="398" t="s">
        <v>758</v>
      </c>
      <c r="F849" s="404">
        <v>4496.04</v>
      </c>
      <c r="G849" s="397" t="s">
        <v>1873</v>
      </c>
      <c r="H849" s="389" t="s">
        <v>738</v>
      </c>
      <c r="I849" s="398" t="s">
        <v>668</v>
      </c>
      <c r="J849" s="399" t="s">
        <v>669</v>
      </c>
      <c r="K849" s="394" t="str">
        <f t="shared" si="39"/>
        <v>XXX077460001XX</v>
      </c>
      <c r="L849" s="391" t="s">
        <v>1996</v>
      </c>
      <c r="M849" s="398" t="s">
        <v>721</v>
      </c>
      <c r="N849" s="399">
        <v>162</v>
      </c>
      <c r="O849" s="399" t="s">
        <v>1195</v>
      </c>
      <c r="P849" s="398" t="s">
        <v>1553</v>
      </c>
    </row>
    <row r="850" spans="1:16" s="401" customFormat="1" ht="36">
      <c r="A850" s="452">
        <f t="shared" si="38"/>
        <v>847</v>
      </c>
      <c r="B850" s="387">
        <v>46101</v>
      </c>
      <c r="C850" s="388">
        <v>46055</v>
      </c>
      <c r="D850" s="389" t="s">
        <v>248</v>
      </c>
      <c r="E850" s="393" t="s">
        <v>164</v>
      </c>
      <c r="F850" s="404">
        <v>78.55</v>
      </c>
      <c r="G850" s="397" t="s">
        <v>1873</v>
      </c>
      <c r="H850" s="389" t="s">
        <v>737</v>
      </c>
      <c r="I850" s="398" t="s">
        <v>668</v>
      </c>
      <c r="J850" s="399" t="s">
        <v>669</v>
      </c>
      <c r="K850" s="394" t="str">
        <f t="shared" si="39"/>
        <v>XXX077460001XX</v>
      </c>
      <c r="L850" s="391" t="s">
        <v>1996</v>
      </c>
      <c r="M850" s="398" t="s">
        <v>721</v>
      </c>
      <c r="N850" s="399">
        <v>149878</v>
      </c>
      <c r="O850" s="399" t="s">
        <v>1528</v>
      </c>
      <c r="P850" s="398" t="s">
        <v>1553</v>
      </c>
    </row>
    <row r="851" spans="1:16" s="401" customFormat="1" ht="36">
      <c r="A851" s="452">
        <f t="shared" si="38"/>
        <v>848</v>
      </c>
      <c r="B851" s="387">
        <v>46101</v>
      </c>
      <c r="C851" s="388">
        <v>46055</v>
      </c>
      <c r="D851" s="389" t="s">
        <v>248</v>
      </c>
      <c r="E851" s="398" t="s">
        <v>602</v>
      </c>
      <c r="F851" s="404">
        <v>127.88</v>
      </c>
      <c r="G851" s="397" t="s">
        <v>1873</v>
      </c>
      <c r="H851" s="389" t="s">
        <v>278</v>
      </c>
      <c r="I851" s="398" t="s">
        <v>668</v>
      </c>
      <c r="J851" s="399" t="s">
        <v>669</v>
      </c>
      <c r="K851" s="394" t="str">
        <f t="shared" si="39"/>
        <v>XXX077460001XX</v>
      </c>
      <c r="L851" s="391" t="s">
        <v>1996</v>
      </c>
      <c r="M851" s="398" t="s">
        <v>721</v>
      </c>
      <c r="N851" s="399">
        <v>119</v>
      </c>
      <c r="O851" s="399" t="s">
        <v>1181</v>
      </c>
      <c r="P851" s="398" t="s">
        <v>1553</v>
      </c>
    </row>
    <row r="852" spans="1:16" s="401" customFormat="1" ht="48">
      <c r="A852" s="452">
        <f t="shared" si="38"/>
        <v>849</v>
      </c>
      <c r="B852" s="387">
        <v>46101</v>
      </c>
      <c r="C852" s="388">
        <v>46055</v>
      </c>
      <c r="D852" s="389" t="s">
        <v>248</v>
      </c>
      <c r="E852" s="395" t="s">
        <v>78</v>
      </c>
      <c r="F852" s="404">
        <v>49.61</v>
      </c>
      <c r="G852" s="397" t="s">
        <v>1947</v>
      </c>
      <c r="H852" s="392" t="s">
        <v>278</v>
      </c>
      <c r="I852" s="398" t="s">
        <v>668</v>
      </c>
      <c r="J852" s="399" t="s">
        <v>669</v>
      </c>
      <c r="K852" s="394" t="str">
        <f t="shared" si="39"/>
        <v>XXX077460001XX</v>
      </c>
      <c r="L852" s="391" t="s">
        <v>1996</v>
      </c>
      <c r="M852" s="398" t="s">
        <v>721</v>
      </c>
      <c r="N852" s="399">
        <v>125</v>
      </c>
      <c r="O852" s="399" t="s">
        <v>1191</v>
      </c>
      <c r="P852" s="398" t="s">
        <v>1553</v>
      </c>
    </row>
    <row r="853" spans="1:16" s="401" customFormat="1" ht="36">
      <c r="A853" s="452">
        <f t="shared" si="38"/>
        <v>850</v>
      </c>
      <c r="B853" s="387">
        <v>46101</v>
      </c>
      <c r="C853" s="388">
        <v>46055</v>
      </c>
      <c r="D853" s="389" t="s">
        <v>248</v>
      </c>
      <c r="E853" s="393" t="s">
        <v>164</v>
      </c>
      <c r="F853" s="404">
        <v>19.059999999999999</v>
      </c>
      <c r="G853" s="397" t="s">
        <v>1873</v>
      </c>
      <c r="H853" s="389" t="s">
        <v>737</v>
      </c>
      <c r="I853" s="398" t="s">
        <v>668</v>
      </c>
      <c r="J853" s="399" t="s">
        <v>669</v>
      </c>
      <c r="K853" s="394" t="str">
        <f t="shared" si="39"/>
        <v>XXX077460001XX</v>
      </c>
      <c r="L853" s="391" t="s">
        <v>1996</v>
      </c>
      <c r="M853" s="398" t="s">
        <v>721</v>
      </c>
      <c r="N853" s="399">
        <v>137</v>
      </c>
      <c r="O853" s="399" t="s">
        <v>1519</v>
      </c>
      <c r="P853" s="398" t="s">
        <v>1553</v>
      </c>
    </row>
    <row r="854" spans="1:16" s="401" customFormat="1" ht="36">
      <c r="A854" s="452">
        <f t="shared" si="38"/>
        <v>851</v>
      </c>
      <c r="B854" s="387">
        <v>46101</v>
      </c>
      <c r="C854" s="388">
        <v>46055</v>
      </c>
      <c r="D854" s="389" t="s">
        <v>166</v>
      </c>
      <c r="E854" s="398" t="s">
        <v>581</v>
      </c>
      <c r="F854" s="404">
        <v>29.03</v>
      </c>
      <c r="G854" s="397" t="s">
        <v>1873</v>
      </c>
      <c r="H854" s="389" t="s">
        <v>166</v>
      </c>
      <c r="I854" s="398" t="s">
        <v>668</v>
      </c>
      <c r="J854" s="399" t="s">
        <v>669</v>
      </c>
      <c r="K854" s="394" t="str">
        <f t="shared" si="39"/>
        <v>XXX077460001XX</v>
      </c>
      <c r="L854" s="391" t="s">
        <v>1996</v>
      </c>
      <c r="M854" s="398" t="s">
        <v>721</v>
      </c>
      <c r="N854" s="399">
        <v>3649</v>
      </c>
      <c r="O854" s="399" t="s">
        <v>1200</v>
      </c>
      <c r="P854" s="398" t="s">
        <v>1553</v>
      </c>
    </row>
    <row r="855" spans="1:16" s="401" customFormat="1" ht="48">
      <c r="A855" s="452">
        <f t="shared" si="38"/>
        <v>852</v>
      </c>
      <c r="B855" s="387">
        <v>46101</v>
      </c>
      <c r="C855" s="388">
        <v>46055</v>
      </c>
      <c r="D855" s="389" t="s">
        <v>248</v>
      </c>
      <c r="E855" s="395" t="s">
        <v>78</v>
      </c>
      <c r="F855" s="404">
        <v>122.76</v>
      </c>
      <c r="G855" s="397" t="s">
        <v>1946</v>
      </c>
      <c r="H855" s="392" t="s">
        <v>278</v>
      </c>
      <c r="I855" s="398" t="s">
        <v>668</v>
      </c>
      <c r="J855" s="399" t="s">
        <v>669</v>
      </c>
      <c r="K855" s="394" t="str">
        <f t="shared" si="39"/>
        <v>XXX077460001XX</v>
      </c>
      <c r="L855" s="391" t="s">
        <v>1996</v>
      </c>
      <c r="M855" s="398" t="s">
        <v>721</v>
      </c>
      <c r="N855" s="399">
        <v>17</v>
      </c>
      <c r="O855" s="399" t="s">
        <v>1519</v>
      </c>
      <c r="P855" s="398" t="s">
        <v>1553</v>
      </c>
    </row>
    <row r="856" spans="1:16" s="401" customFormat="1" ht="36">
      <c r="A856" s="452">
        <f t="shared" si="38"/>
        <v>853</v>
      </c>
      <c r="B856" s="387">
        <v>46101</v>
      </c>
      <c r="C856" s="388">
        <v>46055</v>
      </c>
      <c r="D856" s="389" t="s">
        <v>166</v>
      </c>
      <c r="E856" s="398" t="s">
        <v>581</v>
      </c>
      <c r="F856" s="404">
        <v>33.92</v>
      </c>
      <c r="G856" s="397" t="s">
        <v>1873</v>
      </c>
      <c r="H856" s="389" t="s">
        <v>166</v>
      </c>
      <c r="I856" s="398" t="s">
        <v>668</v>
      </c>
      <c r="J856" s="399" t="s">
        <v>669</v>
      </c>
      <c r="K856" s="394" t="str">
        <f t="shared" si="39"/>
        <v>XXX077460001XX</v>
      </c>
      <c r="L856" s="391" t="s">
        <v>1996</v>
      </c>
      <c r="M856" s="398" t="s">
        <v>721</v>
      </c>
      <c r="N856" s="399">
        <v>7536</v>
      </c>
      <c r="O856" s="399" t="s">
        <v>1519</v>
      </c>
      <c r="P856" s="398" t="s">
        <v>1553</v>
      </c>
    </row>
    <row r="857" spans="1:16" s="401" customFormat="1" ht="36">
      <c r="A857" s="452">
        <f t="shared" si="38"/>
        <v>854</v>
      </c>
      <c r="B857" s="387">
        <v>46101</v>
      </c>
      <c r="C857" s="388">
        <v>46055</v>
      </c>
      <c r="D857" s="389" t="s">
        <v>248</v>
      </c>
      <c r="E857" s="395" t="s">
        <v>78</v>
      </c>
      <c r="F857" s="404">
        <v>0.01</v>
      </c>
      <c r="G857" s="397" t="s">
        <v>1721</v>
      </c>
      <c r="H857" s="392" t="s">
        <v>278</v>
      </c>
      <c r="I857" s="398" t="s">
        <v>668</v>
      </c>
      <c r="J857" s="399" t="s">
        <v>669</v>
      </c>
      <c r="K857" s="394" t="str">
        <f t="shared" si="39"/>
        <v>XXX077460001XX</v>
      </c>
      <c r="L857" s="391" t="s">
        <v>1996</v>
      </c>
      <c r="M857" s="398" t="s">
        <v>721</v>
      </c>
      <c r="N857" s="399">
        <v>125</v>
      </c>
      <c r="O857" s="399" t="s">
        <v>1191</v>
      </c>
      <c r="P857" s="398" t="s">
        <v>1553</v>
      </c>
    </row>
    <row r="858" spans="1:16" s="401" customFormat="1" ht="36">
      <c r="A858" s="452">
        <f t="shared" si="38"/>
        <v>855</v>
      </c>
      <c r="B858" s="387">
        <v>46101</v>
      </c>
      <c r="C858" s="388">
        <v>46055</v>
      </c>
      <c r="D858" s="389" t="s">
        <v>248</v>
      </c>
      <c r="E858" s="395" t="s">
        <v>78</v>
      </c>
      <c r="F858" s="404">
        <v>184.33</v>
      </c>
      <c r="G858" s="397" t="s">
        <v>1948</v>
      </c>
      <c r="H858" s="389" t="s">
        <v>738</v>
      </c>
      <c r="I858" s="398" t="s">
        <v>668</v>
      </c>
      <c r="J858" s="399" t="s">
        <v>669</v>
      </c>
      <c r="K858" s="394" t="str">
        <f t="shared" si="39"/>
        <v>XXX077460001XX</v>
      </c>
      <c r="L858" s="391" t="s">
        <v>1996</v>
      </c>
      <c r="M858" s="398" t="s">
        <v>721</v>
      </c>
      <c r="N858" s="399">
        <v>306</v>
      </c>
      <c r="O858" s="399" t="s">
        <v>1199</v>
      </c>
      <c r="P858" s="398" t="s">
        <v>1554</v>
      </c>
    </row>
    <row r="859" spans="1:16" s="401" customFormat="1" ht="24">
      <c r="A859" s="452">
        <f t="shared" si="38"/>
        <v>856</v>
      </c>
      <c r="B859" s="387">
        <v>46101</v>
      </c>
      <c r="C859" s="388">
        <v>46055</v>
      </c>
      <c r="D859" s="389" t="s">
        <v>166</v>
      </c>
      <c r="E859" s="398" t="s">
        <v>1210</v>
      </c>
      <c r="F859" s="404">
        <v>184686.93</v>
      </c>
      <c r="G859" s="397" t="s">
        <v>1722</v>
      </c>
      <c r="H859" s="389" t="s">
        <v>166</v>
      </c>
      <c r="I859" s="398" t="s">
        <v>672</v>
      </c>
      <c r="J859" s="399" t="s">
        <v>673</v>
      </c>
      <c r="K859" s="394" t="str">
        <f t="shared" si="39"/>
        <v>XXX944600058XX</v>
      </c>
      <c r="L859" s="391" t="s">
        <v>1996</v>
      </c>
      <c r="M859" s="398" t="s">
        <v>723</v>
      </c>
      <c r="N859" s="399">
        <v>2100</v>
      </c>
      <c r="O859" s="399" t="s">
        <v>1180</v>
      </c>
      <c r="P859" s="398" t="s">
        <v>1555</v>
      </c>
    </row>
    <row r="860" spans="1:16" s="401" customFormat="1" ht="24">
      <c r="A860" s="452">
        <f t="shared" si="38"/>
        <v>857</v>
      </c>
      <c r="B860" s="387">
        <v>46101</v>
      </c>
      <c r="C860" s="388">
        <v>46055</v>
      </c>
      <c r="D860" s="389" t="s">
        <v>166</v>
      </c>
      <c r="E860" s="394" t="s">
        <v>245</v>
      </c>
      <c r="F860" s="404">
        <v>13066.21</v>
      </c>
      <c r="G860" s="397" t="s">
        <v>1723</v>
      </c>
      <c r="H860" s="389" t="s">
        <v>166</v>
      </c>
      <c r="I860" s="398" t="s">
        <v>668</v>
      </c>
      <c r="J860" s="399" t="s">
        <v>669</v>
      </c>
      <c r="K860" s="394" t="str">
        <f t="shared" si="39"/>
        <v>XXX077460001XX</v>
      </c>
      <c r="L860" s="391" t="s">
        <v>1996</v>
      </c>
      <c r="M860" s="398" t="s">
        <v>725</v>
      </c>
      <c r="N860" s="399">
        <v>83010226</v>
      </c>
      <c r="O860" s="399" t="s">
        <v>1180</v>
      </c>
      <c r="P860" s="398" t="s">
        <v>1555</v>
      </c>
    </row>
    <row r="861" spans="1:16" s="401" customFormat="1" ht="24">
      <c r="A861" s="452">
        <f t="shared" si="38"/>
        <v>858</v>
      </c>
      <c r="B861" s="387">
        <v>46101</v>
      </c>
      <c r="C861" s="388">
        <v>46055</v>
      </c>
      <c r="D861" s="389" t="s">
        <v>166</v>
      </c>
      <c r="E861" s="394" t="s">
        <v>234</v>
      </c>
      <c r="F861" s="404">
        <v>451339.56</v>
      </c>
      <c r="G861" s="397" t="s">
        <v>1724</v>
      </c>
      <c r="H861" s="389" t="s">
        <v>166</v>
      </c>
      <c r="I861" s="398" t="s">
        <v>668</v>
      </c>
      <c r="J861" s="399" t="s">
        <v>669</v>
      </c>
      <c r="K861" s="394" t="str">
        <f t="shared" si="39"/>
        <v>XXX077460001XX</v>
      </c>
      <c r="L861" s="391" t="s">
        <v>1996</v>
      </c>
      <c r="M861" s="398" t="s">
        <v>723</v>
      </c>
      <c r="N861" s="399">
        <v>2100</v>
      </c>
      <c r="O861" s="399" t="s">
        <v>1180</v>
      </c>
      <c r="P861" s="398" t="s">
        <v>1555</v>
      </c>
    </row>
    <row r="862" spans="1:16" s="401" customFormat="1" ht="36">
      <c r="A862" s="452">
        <f t="shared" si="38"/>
        <v>859</v>
      </c>
      <c r="B862" s="387">
        <v>46101</v>
      </c>
      <c r="C862" s="388">
        <v>46055</v>
      </c>
      <c r="D862" s="389" t="s">
        <v>248</v>
      </c>
      <c r="E862" s="398" t="s">
        <v>595</v>
      </c>
      <c r="F862" s="404">
        <v>106.86</v>
      </c>
      <c r="G862" s="397" t="s">
        <v>1873</v>
      </c>
      <c r="H862" s="389" t="s">
        <v>278</v>
      </c>
      <c r="I862" s="398" t="s">
        <v>668</v>
      </c>
      <c r="J862" s="399" t="s">
        <v>669</v>
      </c>
      <c r="K862" s="394" t="str">
        <f t="shared" si="39"/>
        <v>XXX077460001XX</v>
      </c>
      <c r="L862" s="391" t="s">
        <v>1996</v>
      </c>
      <c r="M862" s="398" t="s">
        <v>721</v>
      </c>
      <c r="N862" s="399">
        <v>494</v>
      </c>
      <c r="O862" s="399" t="s">
        <v>1178</v>
      </c>
      <c r="P862" s="398" t="s">
        <v>1554</v>
      </c>
    </row>
    <row r="863" spans="1:16" s="401" customFormat="1" ht="36">
      <c r="A863" s="452">
        <f t="shared" si="38"/>
        <v>860</v>
      </c>
      <c r="B863" s="387">
        <v>46101</v>
      </c>
      <c r="C863" s="388">
        <v>46055</v>
      </c>
      <c r="D863" s="389" t="s">
        <v>248</v>
      </c>
      <c r="E863" s="398" t="s">
        <v>595</v>
      </c>
      <c r="F863" s="404">
        <v>162.75</v>
      </c>
      <c r="G863" s="397" t="s">
        <v>1873</v>
      </c>
      <c r="H863" s="389" t="s">
        <v>278</v>
      </c>
      <c r="I863" s="398" t="s">
        <v>668</v>
      </c>
      <c r="J863" s="399" t="s">
        <v>669</v>
      </c>
      <c r="K863" s="394" t="str">
        <f t="shared" si="39"/>
        <v>XXX077460001XX</v>
      </c>
      <c r="L863" s="391" t="s">
        <v>1996</v>
      </c>
      <c r="M863" s="398" t="s">
        <v>721</v>
      </c>
      <c r="N863" s="399">
        <v>15328</v>
      </c>
      <c r="O863" s="399" t="s">
        <v>1181</v>
      </c>
      <c r="P863" s="398" t="s">
        <v>1554</v>
      </c>
    </row>
    <row r="864" spans="1:16" s="401" customFormat="1" ht="24">
      <c r="A864" s="452">
        <f t="shared" si="38"/>
        <v>861</v>
      </c>
      <c r="B864" s="387">
        <v>46101</v>
      </c>
      <c r="C864" s="388">
        <v>46055</v>
      </c>
      <c r="D864" s="389" t="s">
        <v>166</v>
      </c>
      <c r="E864" s="398" t="s">
        <v>603</v>
      </c>
      <c r="F864" s="404">
        <v>178.42</v>
      </c>
      <c r="G864" s="397" t="s">
        <v>1873</v>
      </c>
      <c r="H864" s="389" t="s">
        <v>166</v>
      </c>
      <c r="I864" s="398" t="s">
        <v>668</v>
      </c>
      <c r="J864" s="399" t="s">
        <v>669</v>
      </c>
      <c r="K864" s="394" t="str">
        <f t="shared" si="39"/>
        <v>XXX077460001XX</v>
      </c>
      <c r="L864" s="391" t="s">
        <v>1996</v>
      </c>
      <c r="M864" s="398" t="s">
        <v>721</v>
      </c>
      <c r="N864" s="399">
        <v>2026115050</v>
      </c>
      <c r="O864" s="399" t="s">
        <v>1181</v>
      </c>
      <c r="P864" s="398" t="s">
        <v>1555</v>
      </c>
    </row>
    <row r="865" spans="1:16" s="401" customFormat="1" ht="48">
      <c r="A865" s="452">
        <f t="shared" si="38"/>
        <v>862</v>
      </c>
      <c r="B865" s="387">
        <v>46101</v>
      </c>
      <c r="C865" s="388">
        <v>46083</v>
      </c>
      <c r="D865" s="389" t="s">
        <v>248</v>
      </c>
      <c r="E865" s="398" t="s">
        <v>607</v>
      </c>
      <c r="F865" s="404">
        <v>37.880000000000003</v>
      </c>
      <c r="G865" s="397" t="s">
        <v>1725</v>
      </c>
      <c r="H865" s="389" t="s">
        <v>736</v>
      </c>
      <c r="I865" s="398" t="s">
        <v>881</v>
      </c>
      <c r="J865" s="399" t="s">
        <v>773</v>
      </c>
      <c r="K865" s="394" t="str">
        <f t="shared" si="39"/>
        <v>XXX000000000XX</v>
      </c>
      <c r="L865" s="391" t="s">
        <v>1996</v>
      </c>
      <c r="M865" s="398" t="s">
        <v>710</v>
      </c>
      <c r="N865" s="399">
        <v>203197</v>
      </c>
      <c r="O865" s="399" t="s">
        <v>1534</v>
      </c>
      <c r="P865" s="398" t="s">
        <v>735</v>
      </c>
    </row>
    <row r="866" spans="1:16" s="401" customFormat="1" ht="48">
      <c r="A866" s="452">
        <f t="shared" si="38"/>
        <v>863</v>
      </c>
      <c r="B866" s="387">
        <v>46101</v>
      </c>
      <c r="C866" s="388">
        <v>46083</v>
      </c>
      <c r="D866" s="389" t="s">
        <v>248</v>
      </c>
      <c r="E866" s="398" t="s">
        <v>605</v>
      </c>
      <c r="F866" s="404">
        <v>48.51</v>
      </c>
      <c r="G866" s="397" t="s">
        <v>1725</v>
      </c>
      <c r="H866" s="389" t="s">
        <v>278</v>
      </c>
      <c r="I866" s="398" t="s">
        <v>881</v>
      </c>
      <c r="J866" s="399" t="s">
        <v>773</v>
      </c>
      <c r="K866" s="394" t="str">
        <f t="shared" si="39"/>
        <v>XXX000000000XX</v>
      </c>
      <c r="L866" s="391" t="s">
        <v>1996</v>
      </c>
      <c r="M866" s="398" t="s">
        <v>710</v>
      </c>
      <c r="N866" s="399">
        <v>203197</v>
      </c>
      <c r="O866" s="399" t="s">
        <v>1534</v>
      </c>
      <c r="P866" s="398" t="s">
        <v>735</v>
      </c>
    </row>
    <row r="867" spans="1:16" s="401" customFormat="1" ht="48">
      <c r="A867" s="452">
        <f t="shared" si="38"/>
        <v>864</v>
      </c>
      <c r="B867" s="387">
        <v>46101</v>
      </c>
      <c r="C867" s="388">
        <v>46083</v>
      </c>
      <c r="D867" s="389" t="s">
        <v>248</v>
      </c>
      <c r="E867" s="398" t="s">
        <v>597</v>
      </c>
      <c r="F867" s="404">
        <v>30</v>
      </c>
      <c r="G867" s="397" t="s">
        <v>1726</v>
      </c>
      <c r="H867" s="389" t="s">
        <v>278</v>
      </c>
      <c r="I867" s="398" t="s">
        <v>881</v>
      </c>
      <c r="J867" s="399" t="s">
        <v>773</v>
      </c>
      <c r="K867" s="394" t="str">
        <f t="shared" si="39"/>
        <v>XXX000000000XX</v>
      </c>
      <c r="L867" s="391" t="s">
        <v>1996</v>
      </c>
      <c r="M867" s="398" t="s">
        <v>710</v>
      </c>
      <c r="N867" s="399">
        <v>58835</v>
      </c>
      <c r="O867" s="399" t="s">
        <v>1534</v>
      </c>
      <c r="P867" s="398" t="s">
        <v>735</v>
      </c>
    </row>
    <row r="868" spans="1:16" s="401" customFormat="1" ht="48">
      <c r="A868" s="452">
        <f t="shared" si="38"/>
        <v>865</v>
      </c>
      <c r="B868" s="387">
        <v>46101</v>
      </c>
      <c r="C868" s="388">
        <v>46083</v>
      </c>
      <c r="D868" s="389" t="s">
        <v>248</v>
      </c>
      <c r="E868" s="393" t="s">
        <v>167</v>
      </c>
      <c r="F868" s="404">
        <v>121.31</v>
      </c>
      <c r="G868" s="397" t="s">
        <v>1727</v>
      </c>
      <c r="H868" s="389" t="s">
        <v>278</v>
      </c>
      <c r="I868" s="398" t="s">
        <v>666</v>
      </c>
      <c r="J868" s="399" t="s">
        <v>667</v>
      </c>
      <c r="K868" s="394" t="str">
        <f t="shared" si="39"/>
        <v>XXX085160001XX</v>
      </c>
      <c r="L868" s="391" t="s">
        <v>1996</v>
      </c>
      <c r="M868" s="398" t="s">
        <v>717</v>
      </c>
      <c r="N868" s="399">
        <v>607433</v>
      </c>
      <c r="O868" s="399" t="s">
        <v>1529</v>
      </c>
      <c r="P868" s="398" t="s">
        <v>1553</v>
      </c>
    </row>
    <row r="869" spans="1:16" s="401" customFormat="1" ht="36">
      <c r="A869" s="452">
        <f t="shared" si="38"/>
        <v>866</v>
      </c>
      <c r="B869" s="387">
        <v>46101</v>
      </c>
      <c r="C869" s="388">
        <v>46083</v>
      </c>
      <c r="D869" s="389" t="s">
        <v>248</v>
      </c>
      <c r="E869" s="395" t="s">
        <v>171</v>
      </c>
      <c r="F869" s="404">
        <v>528.79</v>
      </c>
      <c r="G869" s="397" t="s">
        <v>1728</v>
      </c>
      <c r="H869" s="389" t="s">
        <v>278</v>
      </c>
      <c r="I869" s="398" t="s">
        <v>676</v>
      </c>
      <c r="J869" s="399" t="s">
        <v>677</v>
      </c>
      <c r="K869" s="394" t="str">
        <f t="shared" si="39"/>
        <v>XXX432920001XX</v>
      </c>
      <c r="L869" s="391" t="s">
        <v>1996</v>
      </c>
      <c r="M869" s="398" t="s">
        <v>704</v>
      </c>
      <c r="N869" s="399">
        <v>230</v>
      </c>
      <c r="O869" s="399" t="s">
        <v>1535</v>
      </c>
      <c r="P869" s="398" t="s">
        <v>1553</v>
      </c>
    </row>
    <row r="870" spans="1:16" s="401" customFormat="1" ht="24">
      <c r="A870" s="452">
        <f t="shared" si="38"/>
        <v>867</v>
      </c>
      <c r="B870" s="387">
        <v>46105</v>
      </c>
      <c r="C870" s="388">
        <v>46083</v>
      </c>
      <c r="D870" s="389" t="s">
        <v>248</v>
      </c>
      <c r="E870" s="398" t="s">
        <v>592</v>
      </c>
      <c r="F870" s="404">
        <v>1963</v>
      </c>
      <c r="G870" s="397" t="s">
        <v>1729</v>
      </c>
      <c r="H870" s="389" t="s">
        <v>737</v>
      </c>
      <c r="I870" s="398" t="s">
        <v>1042</v>
      </c>
      <c r="J870" s="399" t="s">
        <v>1043</v>
      </c>
      <c r="K870" s="394" t="str">
        <f t="shared" si="39"/>
        <v>XXX881150001XX</v>
      </c>
      <c r="L870" s="391" t="s">
        <v>1996</v>
      </c>
      <c r="M870" s="398" t="s">
        <v>707</v>
      </c>
      <c r="N870" s="399">
        <v>3050</v>
      </c>
      <c r="O870" s="399" t="s">
        <v>1529</v>
      </c>
      <c r="P870" s="398" t="s">
        <v>1554</v>
      </c>
    </row>
    <row r="871" spans="1:16" s="401" customFormat="1" ht="36">
      <c r="A871" s="452">
        <f t="shared" si="38"/>
        <v>868</v>
      </c>
      <c r="B871" s="387">
        <v>46105</v>
      </c>
      <c r="C871" s="388">
        <v>46083</v>
      </c>
      <c r="D871" s="389" t="s">
        <v>353</v>
      </c>
      <c r="E871" s="394" t="s">
        <v>334</v>
      </c>
      <c r="F871" s="404">
        <v>100</v>
      </c>
      <c r="G871" s="397" t="s">
        <v>1730</v>
      </c>
      <c r="H871" s="389" t="s">
        <v>280</v>
      </c>
      <c r="I871" s="394" t="s">
        <v>744</v>
      </c>
      <c r="J871" s="455">
        <v>7837375000150</v>
      </c>
      <c r="K871" s="394" t="str">
        <f t="shared" si="39"/>
        <v>XXX737500015XX</v>
      </c>
      <c r="L871" s="391" t="s">
        <v>1996</v>
      </c>
      <c r="M871" s="398" t="s">
        <v>711</v>
      </c>
      <c r="N871" s="399">
        <v>32026</v>
      </c>
      <c r="O871" s="399" t="s">
        <v>1521</v>
      </c>
      <c r="P871" s="398" t="s">
        <v>1553</v>
      </c>
    </row>
    <row r="872" spans="1:16" s="401" customFormat="1" ht="36">
      <c r="A872" s="452">
        <f t="shared" si="38"/>
        <v>869</v>
      </c>
      <c r="B872" s="387">
        <v>46105</v>
      </c>
      <c r="C872" s="388">
        <v>46083</v>
      </c>
      <c r="D872" s="389" t="s">
        <v>248</v>
      </c>
      <c r="E872" s="398" t="s">
        <v>597</v>
      </c>
      <c r="F872" s="404">
        <v>79.98</v>
      </c>
      <c r="G872" s="397" t="s">
        <v>1731</v>
      </c>
      <c r="H872" s="389" t="s">
        <v>278</v>
      </c>
      <c r="I872" s="398" t="s">
        <v>881</v>
      </c>
      <c r="J872" s="399" t="s">
        <v>773</v>
      </c>
      <c r="K872" s="394" t="str">
        <f t="shared" si="39"/>
        <v>XXX000000000XX</v>
      </c>
      <c r="L872" s="391" t="s">
        <v>1996</v>
      </c>
      <c r="M872" s="398" t="s">
        <v>710</v>
      </c>
      <c r="N872" s="399">
        <v>335204</v>
      </c>
      <c r="O872" s="399" t="s">
        <v>1538</v>
      </c>
      <c r="P872" s="398" t="s">
        <v>735</v>
      </c>
    </row>
    <row r="873" spans="1:16" s="401" customFormat="1" ht="36">
      <c r="A873" s="452">
        <f t="shared" si="38"/>
        <v>870</v>
      </c>
      <c r="B873" s="387">
        <v>46105</v>
      </c>
      <c r="C873" s="388">
        <v>46083</v>
      </c>
      <c r="D873" s="389" t="s">
        <v>353</v>
      </c>
      <c r="E873" s="398" t="s">
        <v>587</v>
      </c>
      <c r="F873" s="404">
        <v>96.12</v>
      </c>
      <c r="G873" s="397" t="s">
        <v>1732</v>
      </c>
      <c r="H873" s="389" t="s">
        <v>280</v>
      </c>
      <c r="I873" s="394" t="s">
        <v>744</v>
      </c>
      <c r="J873" s="455">
        <v>7837375000150</v>
      </c>
      <c r="K873" s="394" t="str">
        <f t="shared" si="39"/>
        <v>XXX737500015XX</v>
      </c>
      <c r="L873" s="391" t="s">
        <v>1996</v>
      </c>
      <c r="M873" s="398" t="s">
        <v>711</v>
      </c>
      <c r="N873" s="399">
        <v>32026</v>
      </c>
      <c r="O873" s="399" t="s">
        <v>1538</v>
      </c>
      <c r="P873" s="398" t="s">
        <v>1555</v>
      </c>
    </row>
    <row r="874" spans="1:16" s="401" customFormat="1" ht="36">
      <c r="A874" s="452">
        <f t="shared" si="38"/>
        <v>871</v>
      </c>
      <c r="B874" s="387">
        <v>46105</v>
      </c>
      <c r="C874" s="388">
        <v>46083</v>
      </c>
      <c r="D874" s="389" t="s">
        <v>353</v>
      </c>
      <c r="E874" s="398" t="s">
        <v>587</v>
      </c>
      <c r="F874" s="404">
        <v>87.71</v>
      </c>
      <c r="G874" s="397" t="s">
        <v>1732</v>
      </c>
      <c r="H874" s="389" t="s">
        <v>280</v>
      </c>
      <c r="I874" s="394" t="s">
        <v>744</v>
      </c>
      <c r="J874" s="455">
        <v>7837375000150</v>
      </c>
      <c r="K874" s="394" t="str">
        <f t="shared" si="39"/>
        <v>XXX737500015XX</v>
      </c>
      <c r="L874" s="391" t="s">
        <v>1996</v>
      </c>
      <c r="M874" s="398" t="s">
        <v>711</v>
      </c>
      <c r="N874" s="399">
        <v>32026</v>
      </c>
      <c r="O874" s="399" t="s">
        <v>1538</v>
      </c>
      <c r="P874" s="398" t="s">
        <v>1555</v>
      </c>
    </row>
    <row r="875" spans="1:16" s="401" customFormat="1" ht="36">
      <c r="A875" s="452">
        <f t="shared" si="38"/>
        <v>872</v>
      </c>
      <c r="B875" s="387">
        <v>46105</v>
      </c>
      <c r="C875" s="388">
        <v>46083</v>
      </c>
      <c r="D875" s="389" t="s">
        <v>353</v>
      </c>
      <c r="E875" s="398" t="s">
        <v>587</v>
      </c>
      <c r="F875" s="404">
        <v>0.27</v>
      </c>
      <c r="G875" s="397" t="s">
        <v>1732</v>
      </c>
      <c r="H875" s="389" t="s">
        <v>280</v>
      </c>
      <c r="I875" s="394" t="s">
        <v>744</v>
      </c>
      <c r="J875" s="455">
        <v>7837375000150</v>
      </c>
      <c r="K875" s="394" t="str">
        <f t="shared" si="39"/>
        <v>XXX737500015XX</v>
      </c>
      <c r="L875" s="391" t="s">
        <v>1996</v>
      </c>
      <c r="M875" s="398" t="s">
        <v>711</v>
      </c>
      <c r="N875" s="399">
        <v>32026</v>
      </c>
      <c r="O875" s="399" t="s">
        <v>1538</v>
      </c>
      <c r="P875" s="398" t="s">
        <v>1555</v>
      </c>
    </row>
    <row r="876" spans="1:16" s="401" customFormat="1" ht="36">
      <c r="A876" s="452">
        <f t="shared" si="38"/>
        <v>873</v>
      </c>
      <c r="B876" s="387">
        <v>46105</v>
      </c>
      <c r="C876" s="388">
        <v>46083</v>
      </c>
      <c r="D876" s="389" t="s">
        <v>353</v>
      </c>
      <c r="E876" s="398" t="s">
        <v>587</v>
      </c>
      <c r="F876" s="404">
        <v>0.23</v>
      </c>
      <c r="G876" s="397" t="s">
        <v>1732</v>
      </c>
      <c r="H876" s="389" t="s">
        <v>280</v>
      </c>
      <c r="I876" s="394" t="s">
        <v>744</v>
      </c>
      <c r="J876" s="455">
        <v>7837375000150</v>
      </c>
      <c r="K876" s="394" t="str">
        <f t="shared" si="39"/>
        <v>XXX737500015XX</v>
      </c>
      <c r="L876" s="391" t="s">
        <v>1996</v>
      </c>
      <c r="M876" s="398" t="s">
        <v>711</v>
      </c>
      <c r="N876" s="399">
        <v>32026</v>
      </c>
      <c r="O876" s="399" t="s">
        <v>1538</v>
      </c>
      <c r="P876" s="398" t="s">
        <v>1555</v>
      </c>
    </row>
    <row r="877" spans="1:16" s="401" customFormat="1" ht="24">
      <c r="A877" s="452">
        <f t="shared" si="38"/>
        <v>874</v>
      </c>
      <c r="B877" s="387">
        <v>46106</v>
      </c>
      <c r="C877" s="388">
        <v>46083</v>
      </c>
      <c r="D877" s="389" t="s">
        <v>166</v>
      </c>
      <c r="E877" s="398" t="s">
        <v>583</v>
      </c>
      <c r="F877" s="404">
        <v>1572.28</v>
      </c>
      <c r="G877" s="397" t="s">
        <v>1733</v>
      </c>
      <c r="H877" s="389" t="s">
        <v>166</v>
      </c>
      <c r="I877" s="398" t="s">
        <v>1499</v>
      </c>
      <c r="J877" s="399" t="s">
        <v>1500</v>
      </c>
      <c r="K877" s="394" t="str">
        <f t="shared" ref="K877:K921" si="40">IF(J877="","",IF(LEN(J877)&gt;14,IF(ISBLANK(J877),"",J877),REPLACE(REPLACE(J877,1,3,"XXX"),13,2,"XX")))</f>
        <v>XXX99624660 XX</v>
      </c>
      <c r="L877" s="391" t="s">
        <v>1996</v>
      </c>
      <c r="M877" s="398" t="s">
        <v>705</v>
      </c>
      <c r="N877" s="399">
        <v>733</v>
      </c>
      <c r="O877" s="399" t="s">
        <v>1521</v>
      </c>
      <c r="P877" s="398" t="s">
        <v>1557</v>
      </c>
    </row>
    <row r="878" spans="1:16" s="401" customFormat="1" ht="24">
      <c r="A878" s="452">
        <f t="shared" si="38"/>
        <v>875</v>
      </c>
      <c r="B878" s="387">
        <v>46106</v>
      </c>
      <c r="C878" s="388">
        <v>46083</v>
      </c>
      <c r="D878" s="389" t="s">
        <v>166</v>
      </c>
      <c r="E878" s="398" t="s">
        <v>583</v>
      </c>
      <c r="F878" s="404">
        <v>2874.65</v>
      </c>
      <c r="G878" s="397" t="s">
        <v>1734</v>
      </c>
      <c r="H878" s="389" t="s">
        <v>166</v>
      </c>
      <c r="I878" s="398" t="s">
        <v>1052</v>
      </c>
      <c r="J878" s="399" t="s">
        <v>1053</v>
      </c>
      <c r="K878" s="394" t="str">
        <f t="shared" si="40"/>
        <v>XXX29033610 XX</v>
      </c>
      <c r="L878" s="391" t="s">
        <v>1996</v>
      </c>
      <c r="M878" s="398" t="s">
        <v>705</v>
      </c>
      <c r="N878" s="399">
        <v>733</v>
      </c>
      <c r="O878" s="399" t="s">
        <v>1521</v>
      </c>
      <c r="P878" s="398" t="s">
        <v>1557</v>
      </c>
    </row>
    <row r="879" spans="1:16" s="401" customFormat="1" ht="36">
      <c r="A879" s="452">
        <f t="shared" si="38"/>
        <v>876</v>
      </c>
      <c r="B879" s="387">
        <v>46107</v>
      </c>
      <c r="C879" s="388">
        <v>46083</v>
      </c>
      <c r="D879" s="389" t="s">
        <v>248</v>
      </c>
      <c r="E879" s="398" t="s">
        <v>592</v>
      </c>
      <c r="F879" s="404">
        <v>1936</v>
      </c>
      <c r="G879" s="397" t="s">
        <v>1735</v>
      </c>
      <c r="H879" s="389" t="s">
        <v>737</v>
      </c>
      <c r="I879" s="398" t="s">
        <v>1042</v>
      </c>
      <c r="J879" s="399" t="s">
        <v>1043</v>
      </c>
      <c r="K879" s="394" t="str">
        <f t="shared" si="40"/>
        <v>XXX881150001XX</v>
      </c>
      <c r="L879" s="391" t="s">
        <v>1996</v>
      </c>
      <c r="M879" s="398" t="s">
        <v>707</v>
      </c>
      <c r="N879" s="399">
        <v>3053</v>
      </c>
      <c r="O879" s="399" t="s">
        <v>1524</v>
      </c>
      <c r="P879" s="398" t="s">
        <v>1554</v>
      </c>
    </row>
    <row r="880" spans="1:16" s="401" customFormat="1" ht="60">
      <c r="A880" s="452">
        <f t="shared" si="38"/>
        <v>877</v>
      </c>
      <c r="B880" s="387">
        <v>46107</v>
      </c>
      <c r="C880" s="388">
        <v>46083</v>
      </c>
      <c r="D880" s="389" t="s">
        <v>248</v>
      </c>
      <c r="E880" s="398" t="s">
        <v>606</v>
      </c>
      <c r="F880" s="404">
        <v>3000</v>
      </c>
      <c r="G880" s="397" t="s">
        <v>1736</v>
      </c>
      <c r="H880" s="389" t="s">
        <v>737</v>
      </c>
      <c r="I880" s="398" t="s">
        <v>1159</v>
      </c>
      <c r="J880" s="399" t="s">
        <v>1160</v>
      </c>
      <c r="K880" s="394" t="str">
        <f t="shared" si="40"/>
        <v>XXX287000001XX</v>
      </c>
      <c r="L880" s="391" t="s">
        <v>1996</v>
      </c>
      <c r="M880" s="398" t="s">
        <v>707</v>
      </c>
      <c r="N880" s="399">
        <v>10</v>
      </c>
      <c r="O880" s="399" t="s">
        <v>1537</v>
      </c>
      <c r="P880" s="398" t="s">
        <v>1554</v>
      </c>
    </row>
    <row r="881" spans="1:16" s="401" customFormat="1" ht="36">
      <c r="A881" s="452">
        <f t="shared" si="38"/>
        <v>878</v>
      </c>
      <c r="B881" s="387">
        <v>46107</v>
      </c>
      <c r="C881" s="388">
        <v>46083</v>
      </c>
      <c r="D881" s="389" t="s">
        <v>248</v>
      </c>
      <c r="E881" s="398" t="s">
        <v>1551</v>
      </c>
      <c r="F881" s="404">
        <v>1016</v>
      </c>
      <c r="G881" s="397" t="s">
        <v>1737</v>
      </c>
      <c r="H881" s="389" t="s">
        <v>737</v>
      </c>
      <c r="I881" s="398" t="s">
        <v>1501</v>
      </c>
      <c r="J881" s="399" t="s">
        <v>1502</v>
      </c>
      <c r="K881" s="394" t="str">
        <f t="shared" si="40"/>
        <v>XXX487130001XX</v>
      </c>
      <c r="L881" s="391" t="s">
        <v>1996</v>
      </c>
      <c r="M881" s="398" t="s">
        <v>707</v>
      </c>
      <c r="N881" s="399">
        <v>42</v>
      </c>
      <c r="O881" s="399" t="s">
        <v>1535</v>
      </c>
      <c r="P881" s="398" t="s">
        <v>1554</v>
      </c>
    </row>
    <row r="882" spans="1:16" s="401" customFormat="1" ht="84">
      <c r="A882" s="452">
        <f t="shared" si="38"/>
        <v>879</v>
      </c>
      <c r="B882" s="387">
        <v>46107</v>
      </c>
      <c r="C882" s="388">
        <v>46083</v>
      </c>
      <c r="D882" s="389" t="s">
        <v>248</v>
      </c>
      <c r="E882" s="398" t="s">
        <v>1550</v>
      </c>
      <c r="F882" s="404">
        <v>1515.85</v>
      </c>
      <c r="G882" s="397" t="s">
        <v>1738</v>
      </c>
      <c r="H882" s="389" t="s">
        <v>736</v>
      </c>
      <c r="I882" s="398" t="s">
        <v>686</v>
      </c>
      <c r="J882" s="399" t="s">
        <v>687</v>
      </c>
      <c r="K882" s="394" t="str">
        <f t="shared" si="40"/>
        <v>XXX900500001XX</v>
      </c>
      <c r="L882" s="391" t="s">
        <v>1996</v>
      </c>
      <c r="M882" s="398" t="s">
        <v>719</v>
      </c>
      <c r="N882" s="399">
        <v>1399</v>
      </c>
      <c r="O882" s="399" t="s">
        <v>1539</v>
      </c>
      <c r="P882" s="398" t="s">
        <v>1554</v>
      </c>
    </row>
    <row r="883" spans="1:16" s="401" customFormat="1" ht="84">
      <c r="A883" s="452">
        <f t="shared" si="38"/>
        <v>880</v>
      </c>
      <c r="B883" s="387">
        <v>46107</v>
      </c>
      <c r="C883" s="388">
        <v>46083</v>
      </c>
      <c r="D883" s="389" t="s">
        <v>248</v>
      </c>
      <c r="E883" s="398" t="s">
        <v>1550</v>
      </c>
      <c r="F883" s="404">
        <v>1212.68</v>
      </c>
      <c r="G883" s="397" t="s">
        <v>1739</v>
      </c>
      <c r="H883" s="389" t="s">
        <v>736</v>
      </c>
      <c r="I883" s="398" t="s">
        <v>686</v>
      </c>
      <c r="J883" s="399" t="s">
        <v>687</v>
      </c>
      <c r="K883" s="394" t="str">
        <f t="shared" si="40"/>
        <v>XXX900500001XX</v>
      </c>
      <c r="L883" s="391" t="s">
        <v>1996</v>
      </c>
      <c r="M883" s="398" t="s">
        <v>719</v>
      </c>
      <c r="N883" s="399">
        <v>1398</v>
      </c>
      <c r="O883" s="399" t="s">
        <v>1539</v>
      </c>
      <c r="P883" s="398" t="s">
        <v>1554</v>
      </c>
    </row>
    <row r="884" spans="1:16" s="401" customFormat="1" ht="84">
      <c r="A884" s="452">
        <f t="shared" si="38"/>
        <v>881</v>
      </c>
      <c r="B884" s="387">
        <v>46107</v>
      </c>
      <c r="C884" s="388">
        <v>46083</v>
      </c>
      <c r="D884" s="389" t="s">
        <v>248</v>
      </c>
      <c r="E884" s="398" t="s">
        <v>598</v>
      </c>
      <c r="F884" s="404">
        <v>3800</v>
      </c>
      <c r="G884" s="397" t="s">
        <v>1740</v>
      </c>
      <c r="H884" s="389" t="s">
        <v>736</v>
      </c>
      <c r="I884" s="398" t="s">
        <v>1503</v>
      </c>
      <c r="J884" s="399" t="s">
        <v>1504</v>
      </c>
      <c r="K884" s="394" t="str">
        <f t="shared" si="40"/>
        <v>XXX884570001XX</v>
      </c>
      <c r="L884" s="391" t="s">
        <v>1996</v>
      </c>
      <c r="M884" s="398" t="s">
        <v>719</v>
      </c>
      <c r="N884" s="399">
        <v>24</v>
      </c>
      <c r="O884" s="399" t="s">
        <v>1535</v>
      </c>
      <c r="P884" s="398" t="s">
        <v>1554</v>
      </c>
    </row>
    <row r="885" spans="1:16" s="401" customFormat="1" ht="40.5" customHeight="1">
      <c r="A885" s="452">
        <f t="shared" si="38"/>
        <v>882</v>
      </c>
      <c r="B885" s="387">
        <v>46107</v>
      </c>
      <c r="C885" s="388">
        <v>46083</v>
      </c>
      <c r="D885" s="389" t="s">
        <v>248</v>
      </c>
      <c r="E885" s="398" t="s">
        <v>1211</v>
      </c>
      <c r="F885" s="404">
        <v>8075</v>
      </c>
      <c r="G885" s="397" t="s">
        <v>1741</v>
      </c>
      <c r="H885" s="389" t="s">
        <v>278</v>
      </c>
      <c r="I885" s="398" t="s">
        <v>1165</v>
      </c>
      <c r="J885" s="399" t="s">
        <v>1166</v>
      </c>
      <c r="K885" s="394" t="str">
        <f t="shared" si="40"/>
        <v>XXX502630001XX</v>
      </c>
      <c r="L885" s="391" t="s">
        <v>1996</v>
      </c>
      <c r="M885" s="398" t="s">
        <v>707</v>
      </c>
      <c r="N885" s="399">
        <v>16</v>
      </c>
      <c r="O885" s="399" t="s">
        <v>1540</v>
      </c>
      <c r="P885" s="398" t="s">
        <v>1554</v>
      </c>
    </row>
    <row r="886" spans="1:16" s="401" customFormat="1" ht="24">
      <c r="A886" s="452">
        <f t="shared" si="38"/>
        <v>883</v>
      </c>
      <c r="B886" s="387">
        <v>46107</v>
      </c>
      <c r="C886" s="388">
        <v>46083</v>
      </c>
      <c r="D886" s="389" t="s">
        <v>248</v>
      </c>
      <c r="E886" s="398" t="s">
        <v>601</v>
      </c>
      <c r="F886" s="404">
        <v>10910.27</v>
      </c>
      <c r="G886" s="397" t="s">
        <v>1742</v>
      </c>
      <c r="H886" s="389" t="s">
        <v>278</v>
      </c>
      <c r="I886" s="398" t="s">
        <v>643</v>
      </c>
      <c r="J886" s="399" t="s">
        <v>644</v>
      </c>
      <c r="K886" s="394" t="str">
        <f t="shared" si="40"/>
        <v>XXX156600001XX</v>
      </c>
      <c r="L886" s="391" t="s">
        <v>1996</v>
      </c>
      <c r="M886" s="398" t="s">
        <v>719</v>
      </c>
      <c r="N886" s="399">
        <v>177</v>
      </c>
      <c r="O886" s="399" t="s">
        <v>1537</v>
      </c>
      <c r="P886" s="398" t="s">
        <v>1554</v>
      </c>
    </row>
    <row r="887" spans="1:16" s="401" customFormat="1" ht="72">
      <c r="A887" s="452">
        <f t="shared" si="38"/>
        <v>884</v>
      </c>
      <c r="B887" s="387">
        <v>46107</v>
      </c>
      <c r="C887" s="388">
        <v>46083</v>
      </c>
      <c r="D887" s="389" t="s">
        <v>248</v>
      </c>
      <c r="E887" s="398" t="s">
        <v>610</v>
      </c>
      <c r="F887" s="404">
        <v>3352.18</v>
      </c>
      <c r="G887" s="397" t="s">
        <v>1743</v>
      </c>
      <c r="H887" s="389" t="s">
        <v>736</v>
      </c>
      <c r="I887" s="398" t="s">
        <v>686</v>
      </c>
      <c r="J887" s="399" t="s">
        <v>687</v>
      </c>
      <c r="K887" s="394" t="str">
        <f t="shared" si="40"/>
        <v>XXX900500001XX</v>
      </c>
      <c r="L887" s="391" t="s">
        <v>1996</v>
      </c>
      <c r="M887" s="398" t="s">
        <v>719</v>
      </c>
      <c r="N887" s="399">
        <v>37307</v>
      </c>
      <c r="O887" s="399" t="s">
        <v>1537</v>
      </c>
      <c r="P887" s="398" t="s">
        <v>1554</v>
      </c>
    </row>
    <row r="888" spans="1:16" s="401" customFormat="1" ht="72">
      <c r="A888" s="452">
        <f t="shared" si="38"/>
        <v>885</v>
      </c>
      <c r="B888" s="387">
        <v>46107</v>
      </c>
      <c r="C888" s="388">
        <v>46083</v>
      </c>
      <c r="D888" s="389" t="s">
        <v>248</v>
      </c>
      <c r="E888" s="398" t="s">
        <v>610</v>
      </c>
      <c r="F888" s="404">
        <v>3799.4</v>
      </c>
      <c r="G888" s="397" t="s">
        <v>1743</v>
      </c>
      <c r="H888" s="389" t="s">
        <v>736</v>
      </c>
      <c r="I888" s="398" t="s">
        <v>686</v>
      </c>
      <c r="J888" s="399" t="s">
        <v>687</v>
      </c>
      <c r="K888" s="394" t="str">
        <f t="shared" si="40"/>
        <v>XXX900500001XX</v>
      </c>
      <c r="L888" s="391" t="s">
        <v>1996</v>
      </c>
      <c r="M888" s="398" t="s">
        <v>719</v>
      </c>
      <c r="N888" s="399">
        <v>37301</v>
      </c>
      <c r="O888" s="399" t="s">
        <v>1537</v>
      </c>
      <c r="P888" s="398" t="s">
        <v>1554</v>
      </c>
    </row>
    <row r="889" spans="1:16" s="401" customFormat="1" ht="36">
      <c r="A889" s="452">
        <f t="shared" si="38"/>
        <v>886</v>
      </c>
      <c r="B889" s="387">
        <v>46107</v>
      </c>
      <c r="C889" s="388">
        <v>46083</v>
      </c>
      <c r="D889" s="389" t="s">
        <v>248</v>
      </c>
      <c r="E889" s="398" t="s">
        <v>595</v>
      </c>
      <c r="F889" s="404">
        <v>273</v>
      </c>
      <c r="G889" s="397" t="s">
        <v>1744</v>
      </c>
      <c r="H889" s="389" t="s">
        <v>278</v>
      </c>
      <c r="I889" s="398" t="s">
        <v>651</v>
      </c>
      <c r="J889" s="399" t="s">
        <v>652</v>
      </c>
      <c r="K889" s="394" t="str">
        <f t="shared" si="40"/>
        <v>XXX778580001XX</v>
      </c>
      <c r="L889" s="391" t="s">
        <v>1996</v>
      </c>
      <c r="M889" s="398" t="s">
        <v>704</v>
      </c>
      <c r="N889" s="399">
        <v>845</v>
      </c>
      <c r="O889" s="399" t="s">
        <v>1535</v>
      </c>
      <c r="P889" s="398" t="s">
        <v>1553</v>
      </c>
    </row>
    <row r="890" spans="1:16" s="401" customFormat="1" ht="36">
      <c r="A890" s="452">
        <f t="shared" si="38"/>
        <v>887</v>
      </c>
      <c r="B890" s="387">
        <v>46107</v>
      </c>
      <c r="C890" s="388">
        <v>46083</v>
      </c>
      <c r="D890" s="389" t="s">
        <v>248</v>
      </c>
      <c r="E890" s="398" t="s">
        <v>604</v>
      </c>
      <c r="F890" s="404">
        <v>9728.5499999999993</v>
      </c>
      <c r="G890" s="397" t="s">
        <v>1745</v>
      </c>
      <c r="H890" s="389" t="s">
        <v>1029</v>
      </c>
      <c r="I890" s="398" t="s">
        <v>1146</v>
      </c>
      <c r="J890" s="399" t="s">
        <v>683</v>
      </c>
      <c r="K890" s="394" t="str">
        <f t="shared" si="40"/>
        <v>XXX232120001XX</v>
      </c>
      <c r="L890" s="391" t="s">
        <v>1996</v>
      </c>
      <c r="M890" s="398" t="s">
        <v>707</v>
      </c>
      <c r="N890" s="399">
        <v>2280763</v>
      </c>
      <c r="O890" s="399" t="s">
        <v>1536</v>
      </c>
      <c r="P890" s="398" t="s">
        <v>1554</v>
      </c>
    </row>
    <row r="891" spans="1:16" s="401" customFormat="1" ht="36">
      <c r="A891" s="452">
        <f t="shared" si="38"/>
        <v>888</v>
      </c>
      <c r="B891" s="387">
        <v>46107</v>
      </c>
      <c r="C891" s="388">
        <v>46083</v>
      </c>
      <c r="D891" s="389" t="s">
        <v>248</v>
      </c>
      <c r="E891" s="395" t="s">
        <v>78</v>
      </c>
      <c r="F891" s="404">
        <v>10125</v>
      </c>
      <c r="G891" s="397" t="s">
        <v>1746</v>
      </c>
      <c r="H891" s="389" t="s">
        <v>737</v>
      </c>
      <c r="I891" s="398" t="s">
        <v>1505</v>
      </c>
      <c r="J891" s="399" t="s">
        <v>1506</v>
      </c>
      <c r="K891" s="394" t="str">
        <f t="shared" si="40"/>
        <v>XXX779990001XX</v>
      </c>
      <c r="L891" s="391" t="s">
        <v>1996</v>
      </c>
      <c r="M891" s="398" t="s">
        <v>707</v>
      </c>
      <c r="N891" s="399">
        <v>2</v>
      </c>
      <c r="O891" s="399" t="s">
        <v>1525</v>
      </c>
      <c r="P891" s="398" t="s">
        <v>1554</v>
      </c>
    </row>
    <row r="892" spans="1:16" s="401" customFormat="1" ht="72">
      <c r="A892" s="452">
        <f t="shared" si="38"/>
        <v>889</v>
      </c>
      <c r="B892" s="387">
        <v>46107</v>
      </c>
      <c r="C892" s="388">
        <v>46083</v>
      </c>
      <c r="D892" s="389" t="s">
        <v>248</v>
      </c>
      <c r="E892" s="398" t="s">
        <v>1550</v>
      </c>
      <c r="F892" s="404">
        <v>1056.82</v>
      </c>
      <c r="G892" s="397" t="s">
        <v>1747</v>
      </c>
      <c r="H892" s="389" t="s">
        <v>736</v>
      </c>
      <c r="I892" s="398" t="s">
        <v>686</v>
      </c>
      <c r="J892" s="399" t="s">
        <v>687</v>
      </c>
      <c r="K892" s="394" t="str">
        <f t="shared" si="40"/>
        <v>XXX900500001XX</v>
      </c>
      <c r="L892" s="391" t="s">
        <v>1996</v>
      </c>
      <c r="M892" s="398" t="s">
        <v>719</v>
      </c>
      <c r="N892" s="399">
        <v>3393</v>
      </c>
      <c r="O892" s="399" t="s">
        <v>1537</v>
      </c>
      <c r="P892" s="398" t="s">
        <v>1554</v>
      </c>
    </row>
    <row r="893" spans="1:16" s="401" customFormat="1" ht="36">
      <c r="A893" s="452">
        <f t="shared" si="38"/>
        <v>890</v>
      </c>
      <c r="B893" s="387">
        <v>46107</v>
      </c>
      <c r="C893" s="388">
        <v>46083</v>
      </c>
      <c r="D893" s="389" t="s">
        <v>248</v>
      </c>
      <c r="E893" s="398" t="s">
        <v>1215</v>
      </c>
      <c r="F893" s="404">
        <v>902</v>
      </c>
      <c r="G893" s="397" t="s">
        <v>1319</v>
      </c>
      <c r="H893" s="389" t="s">
        <v>278</v>
      </c>
      <c r="I893" s="398" t="s">
        <v>1507</v>
      </c>
      <c r="J893" s="399" t="s">
        <v>1508</v>
      </c>
      <c r="K893" s="394" t="str">
        <f t="shared" si="40"/>
        <v>XXX79498613 XX</v>
      </c>
      <c r="L893" s="391" t="s">
        <v>1996</v>
      </c>
      <c r="M893" s="398" t="s">
        <v>708</v>
      </c>
      <c r="N893" s="399">
        <v>74794</v>
      </c>
      <c r="O893" s="399" t="s">
        <v>1525</v>
      </c>
      <c r="P893" s="398" t="s">
        <v>1553</v>
      </c>
    </row>
    <row r="894" spans="1:16" s="401" customFormat="1" ht="36">
      <c r="A894" s="452">
        <f t="shared" si="38"/>
        <v>891</v>
      </c>
      <c r="B894" s="387">
        <v>46107</v>
      </c>
      <c r="C894" s="388">
        <v>46083</v>
      </c>
      <c r="D894" s="389" t="s">
        <v>248</v>
      </c>
      <c r="E894" s="398" t="s">
        <v>608</v>
      </c>
      <c r="F894" s="404">
        <v>8400</v>
      </c>
      <c r="G894" s="397" t="s">
        <v>1748</v>
      </c>
      <c r="H894" s="389" t="s">
        <v>278</v>
      </c>
      <c r="I894" s="398" t="s">
        <v>1509</v>
      </c>
      <c r="J894" s="399" t="s">
        <v>1510</v>
      </c>
      <c r="K894" s="394" t="str">
        <f t="shared" si="40"/>
        <v>XXX390470001XX</v>
      </c>
      <c r="L894" s="391" t="s">
        <v>1996</v>
      </c>
      <c r="M894" s="398" t="s">
        <v>708</v>
      </c>
      <c r="N894" s="399">
        <v>551</v>
      </c>
      <c r="O894" s="399" t="s">
        <v>1541</v>
      </c>
      <c r="P894" s="398" t="s">
        <v>1553</v>
      </c>
    </row>
    <row r="895" spans="1:16" s="401" customFormat="1" ht="36">
      <c r="A895" s="452">
        <f t="shared" si="38"/>
        <v>892</v>
      </c>
      <c r="B895" s="387">
        <v>46107</v>
      </c>
      <c r="C895" s="388">
        <v>46055</v>
      </c>
      <c r="D895" s="389" t="s">
        <v>248</v>
      </c>
      <c r="E895" s="398" t="s">
        <v>597</v>
      </c>
      <c r="F895" s="404">
        <v>928.4</v>
      </c>
      <c r="G895" s="397" t="s">
        <v>1749</v>
      </c>
      <c r="H895" s="389" t="s">
        <v>278</v>
      </c>
      <c r="I895" s="398" t="s">
        <v>698</v>
      </c>
      <c r="J895" s="399" t="s">
        <v>699</v>
      </c>
      <c r="K895" s="394" t="str">
        <f t="shared" si="40"/>
        <v>XXX553420010XX</v>
      </c>
      <c r="L895" s="391" t="s">
        <v>1996</v>
      </c>
      <c r="M895" s="398" t="s">
        <v>719</v>
      </c>
      <c r="N895" s="399">
        <v>750716</v>
      </c>
      <c r="O895" s="399" t="s">
        <v>1181</v>
      </c>
      <c r="P895" s="398" t="s">
        <v>1553</v>
      </c>
    </row>
    <row r="896" spans="1:16" s="401" customFormat="1" ht="36">
      <c r="A896" s="452">
        <f t="shared" si="38"/>
        <v>893</v>
      </c>
      <c r="B896" s="387">
        <v>46107</v>
      </c>
      <c r="C896" s="388">
        <v>46083</v>
      </c>
      <c r="D896" s="389" t="s">
        <v>248</v>
      </c>
      <c r="E896" s="398" t="s">
        <v>1215</v>
      </c>
      <c r="F896" s="404">
        <v>902</v>
      </c>
      <c r="G896" s="397" t="s">
        <v>1319</v>
      </c>
      <c r="H896" s="389" t="s">
        <v>278</v>
      </c>
      <c r="I896" s="398" t="s">
        <v>1511</v>
      </c>
      <c r="J896" s="399" t="s">
        <v>1512</v>
      </c>
      <c r="K896" s="394" t="str">
        <f t="shared" si="40"/>
        <v>XXX55948646 XX</v>
      </c>
      <c r="L896" s="391" t="s">
        <v>1996</v>
      </c>
      <c r="M896" s="398" t="s">
        <v>913</v>
      </c>
      <c r="N896" s="399">
        <v>74849</v>
      </c>
      <c r="O896" s="399" t="s">
        <v>1541</v>
      </c>
      <c r="P896" s="398" t="s">
        <v>1553</v>
      </c>
    </row>
    <row r="897" spans="1:16" s="401" customFormat="1" ht="81.75" customHeight="1">
      <c r="A897" s="452">
        <f t="shared" si="38"/>
        <v>894</v>
      </c>
      <c r="B897" s="387">
        <v>46107</v>
      </c>
      <c r="C897" s="388">
        <v>46055</v>
      </c>
      <c r="D897" s="389" t="s">
        <v>248</v>
      </c>
      <c r="E897" s="398" t="s">
        <v>758</v>
      </c>
      <c r="F897" s="404">
        <v>75755.87</v>
      </c>
      <c r="G897" s="397" t="s">
        <v>1750</v>
      </c>
      <c r="H897" s="392" t="s">
        <v>738</v>
      </c>
      <c r="I897" s="398" t="s">
        <v>700</v>
      </c>
      <c r="J897" s="399" t="s">
        <v>701</v>
      </c>
      <c r="K897" s="394" t="str">
        <f t="shared" si="40"/>
        <v>XXX759440001XX</v>
      </c>
      <c r="L897" s="391" t="s">
        <v>1996</v>
      </c>
      <c r="M897" s="398" t="s">
        <v>708</v>
      </c>
      <c r="N897" s="399">
        <v>216</v>
      </c>
      <c r="O897" s="399" t="s">
        <v>1542</v>
      </c>
      <c r="P897" s="398" t="s">
        <v>1553</v>
      </c>
    </row>
    <row r="898" spans="1:16" s="401" customFormat="1" ht="48">
      <c r="A898" s="452">
        <f t="shared" si="38"/>
        <v>895</v>
      </c>
      <c r="B898" s="387">
        <v>46107</v>
      </c>
      <c r="C898" s="388">
        <v>46083</v>
      </c>
      <c r="D898" s="389" t="s">
        <v>166</v>
      </c>
      <c r="E898" s="398" t="s">
        <v>584</v>
      </c>
      <c r="F898" s="404">
        <v>1092.8900000000001</v>
      </c>
      <c r="G898" s="397" t="s">
        <v>1751</v>
      </c>
      <c r="H898" s="389" t="s">
        <v>166</v>
      </c>
      <c r="I898" s="398" t="s">
        <v>622</v>
      </c>
      <c r="J898" s="399" t="s">
        <v>623</v>
      </c>
      <c r="K898" s="394" t="str">
        <f t="shared" si="40"/>
        <v>XXX267150001XX</v>
      </c>
      <c r="L898" s="391" t="s">
        <v>1996</v>
      </c>
      <c r="M898" s="398" t="s">
        <v>706</v>
      </c>
      <c r="N898" s="399">
        <v>2057887408</v>
      </c>
      <c r="O898" s="399" t="s">
        <v>1542</v>
      </c>
      <c r="P898" s="398" t="s">
        <v>1555</v>
      </c>
    </row>
    <row r="899" spans="1:16" s="401" customFormat="1" ht="48">
      <c r="A899" s="452">
        <f t="shared" si="38"/>
        <v>896</v>
      </c>
      <c r="B899" s="387">
        <v>46107</v>
      </c>
      <c r="C899" s="388">
        <v>46083</v>
      </c>
      <c r="D899" s="389" t="s">
        <v>166</v>
      </c>
      <c r="E899" s="398" t="s">
        <v>584</v>
      </c>
      <c r="F899" s="404">
        <v>4475.2</v>
      </c>
      <c r="G899" s="397" t="s">
        <v>1752</v>
      </c>
      <c r="H899" s="389" t="s">
        <v>166</v>
      </c>
      <c r="I899" s="398" t="s">
        <v>618</v>
      </c>
      <c r="J899" s="399" t="s">
        <v>619</v>
      </c>
      <c r="K899" s="394" t="str">
        <f t="shared" si="40"/>
        <v>XXX985050001XX</v>
      </c>
      <c r="L899" s="391" t="s">
        <v>1996</v>
      </c>
      <c r="M899" s="398" t="s">
        <v>706</v>
      </c>
      <c r="N899" s="399">
        <v>2057887409</v>
      </c>
      <c r="O899" s="399" t="s">
        <v>1542</v>
      </c>
      <c r="P899" s="398" t="s">
        <v>1555</v>
      </c>
    </row>
    <row r="900" spans="1:16" s="401" customFormat="1" ht="36">
      <c r="A900" s="452">
        <f t="shared" ref="A900:A934" si="41">IF(B900="","",ROW()-ROW($A$3))</f>
        <v>897</v>
      </c>
      <c r="B900" s="387">
        <v>46107</v>
      </c>
      <c r="C900" s="388">
        <v>46083</v>
      </c>
      <c r="D900" s="389" t="s">
        <v>166</v>
      </c>
      <c r="E900" s="398" t="s">
        <v>585</v>
      </c>
      <c r="F900" s="404">
        <v>3300</v>
      </c>
      <c r="G900" s="397" t="s">
        <v>1753</v>
      </c>
      <c r="H900" s="389" t="s">
        <v>166</v>
      </c>
      <c r="I900" s="398" t="s">
        <v>620</v>
      </c>
      <c r="J900" s="399" t="s">
        <v>621</v>
      </c>
      <c r="K900" s="394" t="str">
        <f t="shared" si="40"/>
        <v>XXX408760001XX</v>
      </c>
      <c r="L900" s="391" t="s">
        <v>1996</v>
      </c>
      <c r="M900" s="398" t="s">
        <v>706</v>
      </c>
      <c r="N900" s="399">
        <v>2057887412</v>
      </c>
      <c r="O900" s="399" t="s">
        <v>1542</v>
      </c>
      <c r="P900" s="398" t="s">
        <v>1555</v>
      </c>
    </row>
    <row r="901" spans="1:16" s="401" customFormat="1" ht="36">
      <c r="A901" s="452">
        <f t="shared" si="41"/>
        <v>898</v>
      </c>
      <c r="B901" s="387">
        <v>46107</v>
      </c>
      <c r="C901" s="388">
        <v>46083</v>
      </c>
      <c r="D901" s="389" t="s">
        <v>248</v>
      </c>
      <c r="E901" s="398" t="s">
        <v>607</v>
      </c>
      <c r="F901" s="404">
        <v>37.26</v>
      </c>
      <c r="G901" s="397" t="s">
        <v>1754</v>
      </c>
      <c r="H901" s="389" t="s">
        <v>736</v>
      </c>
      <c r="I901" s="398" t="s">
        <v>881</v>
      </c>
      <c r="J901" s="399" t="s">
        <v>773</v>
      </c>
      <c r="K901" s="394" t="str">
        <f t="shared" si="40"/>
        <v>XXX000000000XX</v>
      </c>
      <c r="L901" s="391" t="s">
        <v>1996</v>
      </c>
      <c r="M901" s="398" t="s">
        <v>710</v>
      </c>
      <c r="N901" s="399">
        <v>204485</v>
      </c>
      <c r="O901" s="399" t="s">
        <v>1542</v>
      </c>
      <c r="P901" s="398" t="s">
        <v>735</v>
      </c>
    </row>
    <row r="902" spans="1:16" s="401" customFormat="1" ht="48">
      <c r="A902" s="452">
        <f t="shared" si="41"/>
        <v>899</v>
      </c>
      <c r="B902" s="387">
        <v>46107</v>
      </c>
      <c r="C902" s="388">
        <v>46083</v>
      </c>
      <c r="D902" s="389" t="s">
        <v>248</v>
      </c>
      <c r="E902" s="398" t="s">
        <v>607</v>
      </c>
      <c r="F902" s="404">
        <v>51.2</v>
      </c>
      <c r="G902" s="397" t="s">
        <v>1755</v>
      </c>
      <c r="H902" s="389" t="s">
        <v>736</v>
      </c>
      <c r="I902" s="398" t="s">
        <v>881</v>
      </c>
      <c r="J902" s="399" t="s">
        <v>773</v>
      </c>
      <c r="K902" s="394" t="str">
        <f t="shared" si="40"/>
        <v>XXX000000000XX</v>
      </c>
      <c r="L902" s="391" t="s">
        <v>1996</v>
      </c>
      <c r="M902" s="398" t="s">
        <v>710</v>
      </c>
      <c r="N902" s="399">
        <v>240739</v>
      </c>
      <c r="O902" s="399" t="s">
        <v>1542</v>
      </c>
      <c r="P902" s="398" t="s">
        <v>735</v>
      </c>
    </row>
    <row r="903" spans="1:16" s="401" customFormat="1" ht="48">
      <c r="A903" s="452">
        <f t="shared" si="41"/>
        <v>900</v>
      </c>
      <c r="B903" s="387">
        <v>46107</v>
      </c>
      <c r="C903" s="388">
        <v>46083</v>
      </c>
      <c r="D903" s="389" t="s">
        <v>248</v>
      </c>
      <c r="E903" s="398" t="s">
        <v>597</v>
      </c>
      <c r="F903" s="404">
        <v>110.16</v>
      </c>
      <c r="G903" s="397" t="s">
        <v>1755</v>
      </c>
      <c r="H903" s="389" t="s">
        <v>278</v>
      </c>
      <c r="I903" s="398" t="s">
        <v>881</v>
      </c>
      <c r="J903" s="399" t="s">
        <v>773</v>
      </c>
      <c r="K903" s="394" t="str">
        <f t="shared" si="40"/>
        <v>XXX000000000XX</v>
      </c>
      <c r="L903" s="391" t="s">
        <v>1996</v>
      </c>
      <c r="M903" s="398" t="s">
        <v>710</v>
      </c>
      <c r="N903" s="399">
        <v>240739</v>
      </c>
      <c r="O903" s="399" t="s">
        <v>1542</v>
      </c>
      <c r="P903" s="398" t="s">
        <v>735</v>
      </c>
    </row>
    <row r="904" spans="1:16" s="401" customFormat="1" ht="36">
      <c r="A904" s="452">
        <f t="shared" si="41"/>
        <v>901</v>
      </c>
      <c r="B904" s="387">
        <v>46107</v>
      </c>
      <c r="C904" s="388">
        <v>46083</v>
      </c>
      <c r="D904" s="389" t="s">
        <v>353</v>
      </c>
      <c r="E904" s="394" t="s">
        <v>153</v>
      </c>
      <c r="F904" s="404">
        <v>45332.53</v>
      </c>
      <c r="G904" s="397" t="s">
        <v>821</v>
      </c>
      <c r="H904" s="389" t="s">
        <v>280</v>
      </c>
      <c r="I904" s="394" t="s">
        <v>744</v>
      </c>
      <c r="J904" s="455">
        <v>7837375000150</v>
      </c>
      <c r="K904" s="394" t="str">
        <f t="shared" si="40"/>
        <v>XXX737500015XX</v>
      </c>
      <c r="L904" s="391" t="s">
        <v>1996</v>
      </c>
      <c r="M904" s="398" t="s">
        <v>706</v>
      </c>
      <c r="N904" s="399">
        <v>2057887413</v>
      </c>
      <c r="O904" s="399" t="s">
        <v>1542</v>
      </c>
      <c r="P904" s="398" t="s">
        <v>1553</v>
      </c>
    </row>
    <row r="905" spans="1:16" s="401" customFormat="1" ht="36">
      <c r="A905" s="452">
        <f t="shared" si="41"/>
        <v>902</v>
      </c>
      <c r="B905" s="387">
        <v>46107</v>
      </c>
      <c r="C905" s="388">
        <v>46083</v>
      </c>
      <c r="D905" s="389" t="s">
        <v>248</v>
      </c>
      <c r="E905" s="393" t="s">
        <v>170</v>
      </c>
      <c r="F905" s="404">
        <v>2699.1</v>
      </c>
      <c r="G905" s="397" t="s">
        <v>1756</v>
      </c>
      <c r="H905" s="389" t="s">
        <v>1029</v>
      </c>
      <c r="I905" s="398" t="s">
        <v>1450</v>
      </c>
      <c r="J905" s="399" t="s">
        <v>1451</v>
      </c>
      <c r="K905" s="394" t="str">
        <f t="shared" si="40"/>
        <v>XXX217840001XX</v>
      </c>
      <c r="L905" s="391" t="s">
        <v>1996</v>
      </c>
      <c r="M905" s="398" t="s">
        <v>706</v>
      </c>
      <c r="N905" s="399">
        <v>2057887414</v>
      </c>
      <c r="O905" s="399" t="s">
        <v>1542</v>
      </c>
      <c r="P905" s="398" t="s">
        <v>1553</v>
      </c>
    </row>
    <row r="906" spans="1:16" s="401" customFormat="1" ht="72">
      <c r="A906" s="452">
        <f t="shared" si="41"/>
        <v>903</v>
      </c>
      <c r="B906" s="387">
        <v>46107</v>
      </c>
      <c r="C906" s="388">
        <v>46083</v>
      </c>
      <c r="D906" s="389" t="s">
        <v>248</v>
      </c>
      <c r="E906" s="393" t="s">
        <v>170</v>
      </c>
      <c r="F906" s="404">
        <v>22458</v>
      </c>
      <c r="G906" s="397" t="s">
        <v>1757</v>
      </c>
      <c r="H906" s="392" t="s">
        <v>1029</v>
      </c>
      <c r="I906" s="398" t="s">
        <v>1450</v>
      </c>
      <c r="J906" s="399" t="s">
        <v>1451</v>
      </c>
      <c r="K906" s="394" t="str">
        <f t="shared" si="40"/>
        <v>XXX217840001XX</v>
      </c>
      <c r="L906" s="391" t="s">
        <v>1996</v>
      </c>
      <c r="M906" s="398" t="s">
        <v>706</v>
      </c>
      <c r="N906" s="399">
        <v>2057887415</v>
      </c>
      <c r="O906" s="399" t="s">
        <v>1542</v>
      </c>
      <c r="P906" s="398" t="s">
        <v>1553</v>
      </c>
    </row>
    <row r="907" spans="1:16" s="401" customFormat="1" ht="36">
      <c r="A907" s="452">
        <f t="shared" si="41"/>
        <v>904</v>
      </c>
      <c r="B907" s="387">
        <v>46107</v>
      </c>
      <c r="C907" s="388">
        <v>46083</v>
      </c>
      <c r="D907" s="389" t="s">
        <v>166</v>
      </c>
      <c r="E907" s="398" t="s">
        <v>586</v>
      </c>
      <c r="F907" s="404">
        <v>1160</v>
      </c>
      <c r="G907" s="397" t="s">
        <v>1758</v>
      </c>
      <c r="H907" s="389" t="s">
        <v>166</v>
      </c>
      <c r="I907" s="398" t="s">
        <v>620</v>
      </c>
      <c r="J907" s="399" t="s">
        <v>621</v>
      </c>
      <c r="K907" s="394" t="str">
        <f t="shared" si="40"/>
        <v>XXX408760001XX</v>
      </c>
      <c r="L907" s="391" t="s">
        <v>1996</v>
      </c>
      <c r="M907" s="398" t="s">
        <v>706</v>
      </c>
      <c r="N907" s="399">
        <v>2057887416</v>
      </c>
      <c r="O907" s="399" t="s">
        <v>1542</v>
      </c>
      <c r="P907" s="398" t="s">
        <v>1555</v>
      </c>
    </row>
    <row r="908" spans="1:16" s="401" customFormat="1" ht="36">
      <c r="A908" s="452">
        <f t="shared" si="41"/>
        <v>905</v>
      </c>
      <c r="B908" s="387">
        <v>46107</v>
      </c>
      <c r="C908" s="388">
        <v>46083</v>
      </c>
      <c r="D908" s="389" t="s">
        <v>166</v>
      </c>
      <c r="E908" s="398" t="s">
        <v>586</v>
      </c>
      <c r="F908" s="404">
        <v>80189.600000000006</v>
      </c>
      <c r="G908" s="397" t="s">
        <v>1759</v>
      </c>
      <c r="H908" s="389" t="s">
        <v>166</v>
      </c>
      <c r="I908" s="398" t="s">
        <v>620</v>
      </c>
      <c r="J908" s="399" t="s">
        <v>621</v>
      </c>
      <c r="K908" s="394" t="str">
        <f t="shared" si="40"/>
        <v>XXX408760001XX</v>
      </c>
      <c r="L908" s="391" t="s">
        <v>1996</v>
      </c>
      <c r="M908" s="398" t="s">
        <v>706</v>
      </c>
      <c r="N908" s="399">
        <v>2057887418</v>
      </c>
      <c r="O908" s="399" t="s">
        <v>1542</v>
      </c>
      <c r="P908" s="398" t="s">
        <v>1555</v>
      </c>
    </row>
    <row r="909" spans="1:16" s="401" customFormat="1" ht="36">
      <c r="A909" s="452">
        <f t="shared" si="41"/>
        <v>906</v>
      </c>
      <c r="B909" s="387">
        <v>46107</v>
      </c>
      <c r="C909" s="388">
        <v>46083</v>
      </c>
      <c r="D909" s="389" t="s">
        <v>166</v>
      </c>
      <c r="E909" s="398" t="s">
        <v>586</v>
      </c>
      <c r="F909" s="404">
        <v>51440</v>
      </c>
      <c r="G909" s="397" t="s">
        <v>1760</v>
      </c>
      <c r="H909" s="389" t="s">
        <v>166</v>
      </c>
      <c r="I909" s="398" t="s">
        <v>620</v>
      </c>
      <c r="J909" s="399" t="s">
        <v>621</v>
      </c>
      <c r="K909" s="394" t="str">
        <f t="shared" si="40"/>
        <v>XXX408760001XX</v>
      </c>
      <c r="L909" s="391" t="s">
        <v>1996</v>
      </c>
      <c r="M909" s="398" t="s">
        <v>706</v>
      </c>
      <c r="N909" s="399">
        <v>2057887419</v>
      </c>
      <c r="O909" s="399" t="s">
        <v>1542</v>
      </c>
      <c r="P909" s="398" t="s">
        <v>1555</v>
      </c>
    </row>
    <row r="910" spans="1:16" s="401" customFormat="1" ht="36">
      <c r="A910" s="452">
        <f t="shared" si="41"/>
        <v>907</v>
      </c>
      <c r="B910" s="387">
        <v>46108</v>
      </c>
      <c r="C910" s="388">
        <v>46083</v>
      </c>
      <c r="D910" s="389" t="s">
        <v>248</v>
      </c>
      <c r="E910" s="398" t="s">
        <v>592</v>
      </c>
      <c r="F910" s="404">
        <v>1202.8</v>
      </c>
      <c r="G910" s="397" t="s">
        <v>1761</v>
      </c>
      <c r="H910" s="392" t="s">
        <v>737</v>
      </c>
      <c r="I910" s="398" t="s">
        <v>1513</v>
      </c>
      <c r="J910" s="399" t="s">
        <v>1514</v>
      </c>
      <c r="K910" s="394" t="str">
        <f t="shared" si="40"/>
        <v>XXX411740001XX</v>
      </c>
      <c r="L910" s="391" t="s">
        <v>1996</v>
      </c>
      <c r="M910" s="398" t="s">
        <v>913</v>
      </c>
      <c r="N910" s="399">
        <v>810</v>
      </c>
      <c r="O910" s="399" t="s">
        <v>1526</v>
      </c>
      <c r="P910" s="398" t="s">
        <v>1553</v>
      </c>
    </row>
    <row r="911" spans="1:16" s="401" customFormat="1" ht="36">
      <c r="A911" s="452">
        <f t="shared" si="41"/>
        <v>908</v>
      </c>
      <c r="B911" s="387">
        <v>46108</v>
      </c>
      <c r="C911" s="388">
        <v>46083</v>
      </c>
      <c r="D911" s="389" t="s">
        <v>248</v>
      </c>
      <c r="E911" s="398" t="s">
        <v>602</v>
      </c>
      <c r="F911" s="404">
        <v>2580.87</v>
      </c>
      <c r="G911" s="397" t="s">
        <v>1762</v>
      </c>
      <c r="H911" s="389" t="s">
        <v>278</v>
      </c>
      <c r="I911" s="398" t="s">
        <v>694</v>
      </c>
      <c r="J911" s="399" t="s">
        <v>695</v>
      </c>
      <c r="K911" s="394" t="str">
        <f t="shared" si="40"/>
        <v>XXX713070001XX</v>
      </c>
      <c r="L911" s="391" t="s">
        <v>1996</v>
      </c>
      <c r="M911" s="398" t="s">
        <v>704</v>
      </c>
      <c r="N911" s="399">
        <v>176</v>
      </c>
      <c r="O911" s="399" t="s">
        <v>1526</v>
      </c>
      <c r="P911" s="398" t="s">
        <v>1553</v>
      </c>
    </row>
    <row r="912" spans="1:16" s="401" customFormat="1" ht="36">
      <c r="A912" s="452">
        <f t="shared" si="41"/>
        <v>909</v>
      </c>
      <c r="B912" s="387">
        <v>46108</v>
      </c>
      <c r="C912" s="388">
        <v>46083</v>
      </c>
      <c r="D912" s="389" t="s">
        <v>248</v>
      </c>
      <c r="E912" s="398" t="s">
        <v>592</v>
      </c>
      <c r="F912" s="404">
        <v>4365.21</v>
      </c>
      <c r="G912" s="397" t="s">
        <v>1763</v>
      </c>
      <c r="H912" s="389" t="s">
        <v>1029</v>
      </c>
      <c r="I912" s="398" t="s">
        <v>645</v>
      </c>
      <c r="J912" s="399" t="s">
        <v>646</v>
      </c>
      <c r="K912" s="394" t="str">
        <f t="shared" si="40"/>
        <v>XXX460700001XX</v>
      </c>
      <c r="L912" s="391" t="s">
        <v>1996</v>
      </c>
      <c r="M912" s="398" t="s">
        <v>708</v>
      </c>
      <c r="N912" s="399">
        <v>2031</v>
      </c>
      <c r="O912" s="399" t="s">
        <v>1540</v>
      </c>
      <c r="P912" s="398" t="s">
        <v>1553</v>
      </c>
    </row>
    <row r="913" spans="1:16" s="401" customFormat="1" ht="36">
      <c r="A913" s="452">
        <f t="shared" si="41"/>
        <v>910</v>
      </c>
      <c r="B913" s="387">
        <v>46108</v>
      </c>
      <c r="C913" s="388">
        <v>46083</v>
      </c>
      <c r="D913" s="389" t="s">
        <v>248</v>
      </c>
      <c r="E913" s="398" t="s">
        <v>591</v>
      </c>
      <c r="F913" s="404">
        <v>45</v>
      </c>
      <c r="G913" s="397" t="s">
        <v>1763</v>
      </c>
      <c r="H913" s="389" t="s">
        <v>1029</v>
      </c>
      <c r="I913" s="398" t="s">
        <v>645</v>
      </c>
      <c r="J913" s="399" t="s">
        <v>646</v>
      </c>
      <c r="K913" s="394" t="str">
        <f t="shared" si="40"/>
        <v>XXX460700001XX</v>
      </c>
      <c r="L913" s="391" t="s">
        <v>1996</v>
      </c>
      <c r="M913" s="398" t="s">
        <v>708</v>
      </c>
      <c r="N913" s="399">
        <v>2031</v>
      </c>
      <c r="O913" s="399" t="s">
        <v>1540</v>
      </c>
      <c r="P913" s="398" t="s">
        <v>1553</v>
      </c>
    </row>
    <row r="914" spans="1:16" s="401" customFormat="1" ht="24">
      <c r="A914" s="452">
        <f t="shared" si="41"/>
        <v>911</v>
      </c>
      <c r="B914" s="387">
        <v>46108</v>
      </c>
      <c r="C914" s="388">
        <v>46083</v>
      </c>
      <c r="D914" s="389" t="s">
        <v>353</v>
      </c>
      <c r="E914" s="394" t="s">
        <v>334</v>
      </c>
      <c r="F914" s="404">
        <v>233079.31</v>
      </c>
      <c r="G914" s="397" t="s">
        <v>1764</v>
      </c>
      <c r="H914" s="389" t="s">
        <v>280</v>
      </c>
      <c r="I914" s="394" t="s">
        <v>744</v>
      </c>
      <c r="J914" s="455">
        <v>7837375000150</v>
      </c>
      <c r="K914" s="394" t="str">
        <f t="shared" si="40"/>
        <v>XXX737500015XX</v>
      </c>
      <c r="L914" s="391" t="s">
        <v>1996</v>
      </c>
      <c r="M914" s="398" t="s">
        <v>719</v>
      </c>
      <c r="N914" s="399">
        <v>32026</v>
      </c>
      <c r="O914" s="399" t="s">
        <v>1521</v>
      </c>
      <c r="P914" s="398" t="s">
        <v>1554</v>
      </c>
    </row>
    <row r="915" spans="1:16" s="401" customFormat="1" ht="48">
      <c r="A915" s="452">
        <f t="shared" si="41"/>
        <v>912</v>
      </c>
      <c r="B915" s="387">
        <v>46108</v>
      </c>
      <c r="C915" s="388">
        <v>46083</v>
      </c>
      <c r="D915" s="389" t="s">
        <v>353</v>
      </c>
      <c r="E915" s="394" t="s">
        <v>153</v>
      </c>
      <c r="F915" s="404">
        <v>18000</v>
      </c>
      <c r="G915" s="397" t="s">
        <v>1765</v>
      </c>
      <c r="H915" s="389" t="s">
        <v>280</v>
      </c>
      <c r="I915" s="394" t="s">
        <v>744</v>
      </c>
      <c r="J915" s="455">
        <v>7837375000150</v>
      </c>
      <c r="K915" s="394" t="str">
        <f t="shared" si="40"/>
        <v>XXX737500015XX</v>
      </c>
      <c r="L915" s="391" t="s">
        <v>1996</v>
      </c>
      <c r="M915" s="398" t="s">
        <v>708</v>
      </c>
      <c r="N915" s="399">
        <v>13</v>
      </c>
      <c r="O915" s="399" t="s">
        <v>1543</v>
      </c>
      <c r="P915" s="398" t="s">
        <v>1553</v>
      </c>
    </row>
    <row r="916" spans="1:16" s="401" customFormat="1" ht="36">
      <c r="A916" s="452">
        <f t="shared" si="41"/>
        <v>913</v>
      </c>
      <c r="B916" s="387">
        <v>46111</v>
      </c>
      <c r="C916" s="388">
        <v>46083</v>
      </c>
      <c r="D916" s="389" t="s">
        <v>248</v>
      </c>
      <c r="E916" s="393" t="s">
        <v>167</v>
      </c>
      <c r="F916" s="404">
        <v>1129.32</v>
      </c>
      <c r="G916" s="397" t="s">
        <v>1766</v>
      </c>
      <c r="H916" s="389" t="s">
        <v>278</v>
      </c>
      <c r="I916" s="398" t="s">
        <v>702</v>
      </c>
      <c r="J916" s="399" t="s">
        <v>703</v>
      </c>
      <c r="K916" s="394" t="str">
        <f t="shared" si="40"/>
        <v>XXX805100001XX</v>
      </c>
      <c r="L916" s="391" t="s">
        <v>1996</v>
      </c>
      <c r="M916" s="398" t="s">
        <v>704</v>
      </c>
      <c r="N916" s="399">
        <v>477</v>
      </c>
      <c r="O916" s="399" t="s">
        <v>1520</v>
      </c>
      <c r="P916" s="398" t="s">
        <v>1554</v>
      </c>
    </row>
    <row r="917" spans="1:16" s="401" customFormat="1" ht="36">
      <c r="A917" s="452">
        <f t="shared" si="41"/>
        <v>914</v>
      </c>
      <c r="B917" s="387">
        <v>46111</v>
      </c>
      <c r="C917" s="388">
        <v>46083</v>
      </c>
      <c r="D917" s="389" t="s">
        <v>248</v>
      </c>
      <c r="E917" s="398" t="s">
        <v>606</v>
      </c>
      <c r="F917" s="404">
        <v>4091.43</v>
      </c>
      <c r="G917" s="397" t="s">
        <v>1767</v>
      </c>
      <c r="H917" s="389" t="s">
        <v>737</v>
      </c>
      <c r="I917" s="398" t="s">
        <v>1119</v>
      </c>
      <c r="J917" s="399" t="s">
        <v>1120</v>
      </c>
      <c r="K917" s="394" t="str">
        <f t="shared" si="40"/>
        <v>XXX07677660 XX</v>
      </c>
      <c r="L917" s="391" t="s">
        <v>1996</v>
      </c>
      <c r="M917" s="398" t="s">
        <v>719</v>
      </c>
      <c r="N917" s="399">
        <v>168</v>
      </c>
      <c r="O917" s="399" t="s">
        <v>1540</v>
      </c>
      <c r="P917" s="398" t="s">
        <v>1554</v>
      </c>
    </row>
    <row r="918" spans="1:16" s="401" customFormat="1" ht="36">
      <c r="A918" s="452">
        <f t="shared" si="41"/>
        <v>915</v>
      </c>
      <c r="B918" s="387">
        <v>46112</v>
      </c>
      <c r="C918" s="388">
        <v>46083</v>
      </c>
      <c r="D918" s="389" t="s">
        <v>248</v>
      </c>
      <c r="E918" s="398" t="s">
        <v>1208</v>
      </c>
      <c r="F918" s="404">
        <v>610.84</v>
      </c>
      <c r="G918" s="397" t="s">
        <v>1768</v>
      </c>
      <c r="H918" s="389" t="s">
        <v>278</v>
      </c>
      <c r="I918" s="398" t="s">
        <v>1046</v>
      </c>
      <c r="J918" s="399" t="s">
        <v>1047</v>
      </c>
      <c r="K918" s="394" t="str">
        <f t="shared" si="40"/>
        <v>XXX456080001XX</v>
      </c>
      <c r="L918" s="391" t="s">
        <v>1996</v>
      </c>
      <c r="M918" s="398" t="s">
        <v>704</v>
      </c>
      <c r="N918" s="399">
        <v>3229</v>
      </c>
      <c r="O918" s="399" t="s">
        <v>1533</v>
      </c>
      <c r="P918" s="398" t="s">
        <v>1553</v>
      </c>
    </row>
    <row r="919" spans="1:16" s="401" customFormat="1" ht="36">
      <c r="A919" s="452">
        <f t="shared" si="41"/>
        <v>916</v>
      </c>
      <c r="B919" s="387">
        <v>46112</v>
      </c>
      <c r="C919" s="388">
        <v>46083</v>
      </c>
      <c r="D919" s="389" t="s">
        <v>248</v>
      </c>
      <c r="E919" s="398" t="s">
        <v>592</v>
      </c>
      <c r="F919" s="404">
        <v>30.95</v>
      </c>
      <c r="G919" s="397" t="s">
        <v>1769</v>
      </c>
      <c r="H919" s="392" t="s">
        <v>278</v>
      </c>
      <c r="I919" s="398" t="s">
        <v>881</v>
      </c>
      <c r="J919" s="399" t="s">
        <v>773</v>
      </c>
      <c r="K919" s="394" t="str">
        <f t="shared" si="40"/>
        <v>XXX000000000XX</v>
      </c>
      <c r="L919" s="391" t="s">
        <v>1996</v>
      </c>
      <c r="M919" s="398" t="s">
        <v>710</v>
      </c>
      <c r="N919" s="399">
        <v>165</v>
      </c>
      <c r="O919" s="399" t="s">
        <v>1542</v>
      </c>
      <c r="P919" s="398" t="s">
        <v>735</v>
      </c>
    </row>
    <row r="920" spans="1:16" s="401" customFormat="1" ht="24">
      <c r="A920" s="452">
        <f t="shared" si="41"/>
        <v>917</v>
      </c>
      <c r="B920" s="387">
        <v>46112</v>
      </c>
      <c r="C920" s="388">
        <v>46083</v>
      </c>
      <c r="D920" s="389" t="s">
        <v>166</v>
      </c>
      <c r="E920" s="398" t="s">
        <v>583</v>
      </c>
      <c r="F920" s="404">
        <v>886.42</v>
      </c>
      <c r="G920" s="397" t="s">
        <v>1770</v>
      </c>
      <c r="H920" s="389" t="s">
        <v>166</v>
      </c>
      <c r="I920" s="398" t="s">
        <v>1515</v>
      </c>
      <c r="J920" s="399" t="s">
        <v>1516</v>
      </c>
      <c r="K920" s="394" t="str">
        <f t="shared" si="40"/>
        <v>XXX14933616 XX</v>
      </c>
      <c r="L920" s="391" t="s">
        <v>1996</v>
      </c>
      <c r="M920" s="398" t="s">
        <v>705</v>
      </c>
      <c r="N920" s="399">
        <v>733</v>
      </c>
      <c r="O920" s="399" t="s">
        <v>1521</v>
      </c>
      <c r="P920" s="398" t="s">
        <v>1557</v>
      </c>
    </row>
    <row r="921" spans="1:16" s="401" customFormat="1" ht="24">
      <c r="A921" s="452">
        <f t="shared" si="41"/>
        <v>918</v>
      </c>
      <c r="B921" s="387">
        <v>46112</v>
      </c>
      <c r="C921" s="388">
        <v>46083</v>
      </c>
      <c r="D921" s="389" t="s">
        <v>166</v>
      </c>
      <c r="E921" s="398" t="s">
        <v>583</v>
      </c>
      <c r="F921" s="404">
        <v>1323.05</v>
      </c>
      <c r="G921" s="397" t="s">
        <v>1771</v>
      </c>
      <c r="H921" s="389" t="s">
        <v>166</v>
      </c>
      <c r="I921" s="398" t="s">
        <v>1517</v>
      </c>
      <c r="J921" s="399" t="s">
        <v>1518</v>
      </c>
      <c r="K921" s="394" t="str">
        <f t="shared" si="40"/>
        <v>XXX84911656 XX</v>
      </c>
      <c r="L921" s="391" t="s">
        <v>1996</v>
      </c>
      <c r="M921" s="398" t="s">
        <v>705</v>
      </c>
      <c r="N921" s="399">
        <v>733</v>
      </c>
      <c r="O921" s="399" t="s">
        <v>1521</v>
      </c>
      <c r="P921" s="398" t="s">
        <v>1557</v>
      </c>
    </row>
    <row r="922" spans="1:16" s="401" customFormat="1" ht="36">
      <c r="A922" s="452">
        <f t="shared" si="41"/>
        <v>919</v>
      </c>
      <c r="B922" s="387">
        <v>46112</v>
      </c>
      <c r="C922" s="388">
        <v>46083</v>
      </c>
      <c r="D922" s="389" t="s">
        <v>248</v>
      </c>
      <c r="E922" s="395" t="s">
        <v>0</v>
      </c>
      <c r="F922" s="404">
        <v>58.56</v>
      </c>
      <c r="G922" s="397" t="s">
        <v>1772</v>
      </c>
      <c r="H922" s="389" t="s">
        <v>278</v>
      </c>
      <c r="I922" s="398" t="s">
        <v>881</v>
      </c>
      <c r="J922" s="399" t="s">
        <v>773</v>
      </c>
      <c r="K922" s="394" t="str">
        <f t="shared" ref="K922:K970" si="42">IF(J922="","",IF(LEN(J922)&gt;14,IF(ISBLANK(J922),"",J922),REPLACE(REPLACE(J922,1,3,"XXX"),13,2,"XX")))</f>
        <v>XXX000000000XX</v>
      </c>
      <c r="L922" s="391" t="s">
        <v>1996</v>
      </c>
      <c r="M922" s="398" t="s">
        <v>710</v>
      </c>
      <c r="N922" s="399">
        <v>184769</v>
      </c>
      <c r="O922" s="399" t="s">
        <v>1543</v>
      </c>
      <c r="P922" s="398" t="s">
        <v>735</v>
      </c>
    </row>
    <row r="923" spans="1:16" s="401" customFormat="1" ht="24">
      <c r="A923" s="452">
        <f t="shared" si="41"/>
        <v>920</v>
      </c>
      <c r="B923" s="387">
        <v>46112</v>
      </c>
      <c r="C923" s="388">
        <v>46083</v>
      </c>
      <c r="D923" s="389" t="s">
        <v>248</v>
      </c>
      <c r="E923" s="398" t="s">
        <v>597</v>
      </c>
      <c r="F923" s="404">
        <v>89.7</v>
      </c>
      <c r="G923" s="397" t="s">
        <v>1773</v>
      </c>
      <c r="H923" s="389" t="s">
        <v>278</v>
      </c>
      <c r="I923" s="398" t="s">
        <v>881</v>
      </c>
      <c r="J923" s="399" t="s">
        <v>773</v>
      </c>
      <c r="K923" s="394" t="str">
        <f t="shared" si="42"/>
        <v>XXX000000000XX</v>
      </c>
      <c r="L923" s="391" t="s">
        <v>1996</v>
      </c>
      <c r="M923" s="398" t="s">
        <v>710</v>
      </c>
      <c r="N923" s="399">
        <v>241406</v>
      </c>
      <c r="O923" s="399" t="s">
        <v>1543</v>
      </c>
      <c r="P923" s="398" t="s">
        <v>735</v>
      </c>
    </row>
    <row r="924" spans="1:16" s="401" customFormat="1" ht="24">
      <c r="A924" s="452">
        <f t="shared" si="41"/>
        <v>921</v>
      </c>
      <c r="B924" s="387">
        <v>46112</v>
      </c>
      <c r="C924" s="388">
        <v>46083</v>
      </c>
      <c r="D924" s="392" t="s">
        <v>353</v>
      </c>
      <c r="E924" s="394" t="s">
        <v>336</v>
      </c>
      <c r="F924" s="404">
        <v>33.44</v>
      </c>
      <c r="G924" s="397" t="s">
        <v>1774</v>
      </c>
      <c r="H924" s="389" t="s">
        <v>280</v>
      </c>
      <c r="I924" s="394" t="s">
        <v>744</v>
      </c>
      <c r="J924" s="455">
        <v>7837375000150</v>
      </c>
      <c r="K924" s="394" t="str">
        <f t="shared" si="42"/>
        <v>XXX737500015XX</v>
      </c>
      <c r="L924" s="391" t="s">
        <v>1996</v>
      </c>
      <c r="M924" s="398" t="s">
        <v>734</v>
      </c>
      <c r="N924" s="399">
        <v>32026</v>
      </c>
      <c r="O924" s="399" t="s">
        <v>1521</v>
      </c>
      <c r="P924" s="398" t="s">
        <v>1558</v>
      </c>
    </row>
    <row r="925" spans="1:16" s="401" customFormat="1" ht="24">
      <c r="A925" s="452">
        <f t="shared" si="41"/>
        <v>922</v>
      </c>
      <c r="B925" s="387">
        <v>46112</v>
      </c>
      <c r="C925" s="388">
        <v>46083</v>
      </c>
      <c r="D925" s="392" t="s">
        <v>353</v>
      </c>
      <c r="E925" s="394" t="s">
        <v>336</v>
      </c>
      <c r="F925" s="404">
        <v>82932.34</v>
      </c>
      <c r="G925" s="397" t="s">
        <v>1774</v>
      </c>
      <c r="H925" s="389" t="s">
        <v>280</v>
      </c>
      <c r="I925" s="394" t="s">
        <v>744</v>
      </c>
      <c r="J925" s="455">
        <v>7837375000150</v>
      </c>
      <c r="K925" s="394" t="str">
        <f t="shared" si="42"/>
        <v>XXX737500015XX</v>
      </c>
      <c r="L925" s="391" t="s">
        <v>1996</v>
      </c>
      <c r="M925" s="398" t="s">
        <v>734</v>
      </c>
      <c r="N925" s="399">
        <v>32026</v>
      </c>
      <c r="O925" s="399" t="s">
        <v>1521</v>
      </c>
      <c r="P925" s="398" t="s">
        <v>1559</v>
      </c>
    </row>
    <row r="926" spans="1:16" s="401" customFormat="1" ht="36">
      <c r="A926" s="452">
        <f t="shared" si="41"/>
        <v>923</v>
      </c>
      <c r="B926" s="387">
        <v>46112</v>
      </c>
      <c r="C926" s="388">
        <v>46083</v>
      </c>
      <c r="D926" s="392" t="s">
        <v>339</v>
      </c>
      <c r="E926" s="392" t="s">
        <v>339</v>
      </c>
      <c r="F926" s="404">
        <v>2674.7</v>
      </c>
      <c r="G926" s="397" t="s">
        <v>1774</v>
      </c>
      <c r="H926" s="389" t="s">
        <v>280</v>
      </c>
      <c r="I926" s="394" t="s">
        <v>744</v>
      </c>
      <c r="J926" s="455">
        <v>7837375000150</v>
      </c>
      <c r="K926" s="394" t="str">
        <f t="shared" si="42"/>
        <v>XXX737500015XX</v>
      </c>
      <c r="L926" s="391" t="s">
        <v>1996</v>
      </c>
      <c r="M926" s="398" t="s">
        <v>728</v>
      </c>
      <c r="N926" s="399">
        <v>32026</v>
      </c>
      <c r="O926" s="399" t="s">
        <v>1521</v>
      </c>
      <c r="P926" s="398" t="s">
        <v>1560</v>
      </c>
    </row>
    <row r="927" spans="1:16" s="401" customFormat="1" ht="36">
      <c r="A927" s="452">
        <f t="shared" si="41"/>
        <v>924</v>
      </c>
      <c r="B927" s="387">
        <v>46112</v>
      </c>
      <c r="C927" s="388">
        <v>46083</v>
      </c>
      <c r="D927" s="392" t="s">
        <v>339</v>
      </c>
      <c r="E927" s="392" t="s">
        <v>339</v>
      </c>
      <c r="F927" s="404">
        <v>-2334.5700000000002</v>
      </c>
      <c r="G927" s="397" t="s">
        <v>1775</v>
      </c>
      <c r="H927" s="389" t="s">
        <v>280</v>
      </c>
      <c r="I927" s="394" t="s">
        <v>744</v>
      </c>
      <c r="J927" s="455">
        <v>7837375000150</v>
      </c>
      <c r="K927" s="394" t="str">
        <f t="shared" si="42"/>
        <v>XXX737500015XX</v>
      </c>
      <c r="L927" s="391" t="s">
        <v>1996</v>
      </c>
      <c r="M927" s="398" t="s">
        <v>730</v>
      </c>
      <c r="N927" s="399">
        <v>32026</v>
      </c>
      <c r="O927" s="399" t="s">
        <v>1521</v>
      </c>
      <c r="P927" s="398" t="s">
        <v>1561</v>
      </c>
    </row>
    <row r="928" spans="1:16" s="401" customFormat="1" ht="36">
      <c r="A928" s="452">
        <f t="shared" si="41"/>
        <v>925</v>
      </c>
      <c r="B928" s="387">
        <v>46112</v>
      </c>
      <c r="C928" s="388">
        <v>46083</v>
      </c>
      <c r="D928" s="392" t="s">
        <v>339</v>
      </c>
      <c r="E928" s="392" t="s">
        <v>339</v>
      </c>
      <c r="F928" s="404">
        <v>-989.77</v>
      </c>
      <c r="G928" s="397" t="s">
        <v>1776</v>
      </c>
      <c r="H928" s="389" t="s">
        <v>280</v>
      </c>
      <c r="I928" s="394" t="s">
        <v>744</v>
      </c>
      <c r="J928" s="455">
        <v>7837375000150</v>
      </c>
      <c r="K928" s="394" t="str">
        <f t="shared" si="42"/>
        <v>XXX737500015XX</v>
      </c>
      <c r="L928" s="391" t="s">
        <v>1996</v>
      </c>
      <c r="M928" s="398" t="s">
        <v>753</v>
      </c>
      <c r="N928" s="399">
        <v>32026</v>
      </c>
      <c r="O928" s="399" t="s">
        <v>1521</v>
      </c>
      <c r="P928" s="398" t="s">
        <v>1561</v>
      </c>
    </row>
    <row r="929" spans="1:16" s="401" customFormat="1" ht="36">
      <c r="A929" s="452">
        <f t="shared" si="41"/>
        <v>926</v>
      </c>
      <c r="B929" s="387">
        <v>46112</v>
      </c>
      <c r="C929" s="388">
        <v>46083</v>
      </c>
      <c r="D929" s="392" t="s">
        <v>339</v>
      </c>
      <c r="E929" s="392" t="s">
        <v>339</v>
      </c>
      <c r="F929" s="404">
        <v>14133.95</v>
      </c>
      <c r="G929" s="397" t="s">
        <v>1774</v>
      </c>
      <c r="H929" s="389" t="s">
        <v>280</v>
      </c>
      <c r="I929" s="394" t="s">
        <v>744</v>
      </c>
      <c r="J929" s="455">
        <v>7837375000150</v>
      </c>
      <c r="K929" s="394" t="str">
        <f t="shared" si="42"/>
        <v>XXX737500015XX</v>
      </c>
      <c r="L929" s="391" t="s">
        <v>1996</v>
      </c>
      <c r="M929" s="398" t="s">
        <v>729</v>
      </c>
      <c r="N929" s="399">
        <v>32026</v>
      </c>
      <c r="O929" s="399" t="s">
        <v>1521</v>
      </c>
      <c r="P929" s="398" t="s">
        <v>1561</v>
      </c>
    </row>
    <row r="930" spans="1:16" s="401" customFormat="1" ht="48">
      <c r="A930" s="452">
        <f t="shared" si="41"/>
        <v>927</v>
      </c>
      <c r="B930" s="387">
        <v>46112</v>
      </c>
      <c r="C930" s="388">
        <v>46083</v>
      </c>
      <c r="D930" s="392" t="s">
        <v>353</v>
      </c>
      <c r="E930" s="394" t="s">
        <v>336</v>
      </c>
      <c r="F930" s="404">
        <v>208.88</v>
      </c>
      <c r="G930" s="397" t="s">
        <v>1774</v>
      </c>
      <c r="H930" s="389" t="s">
        <v>280</v>
      </c>
      <c r="I930" s="394" t="s">
        <v>744</v>
      </c>
      <c r="J930" s="455">
        <v>7837375000150</v>
      </c>
      <c r="K930" s="394" t="str">
        <f t="shared" si="42"/>
        <v>XXX737500015XX</v>
      </c>
      <c r="L930" s="391" t="s">
        <v>1996</v>
      </c>
      <c r="M930" s="398" t="s">
        <v>732</v>
      </c>
      <c r="N930" s="399">
        <v>32026</v>
      </c>
      <c r="O930" s="399" t="s">
        <v>1521</v>
      </c>
      <c r="P930" s="398" t="s">
        <v>1562</v>
      </c>
    </row>
    <row r="931" spans="1:16" s="401" customFormat="1" ht="48">
      <c r="A931" s="452">
        <f t="shared" si="41"/>
        <v>928</v>
      </c>
      <c r="B931" s="387">
        <v>46112</v>
      </c>
      <c r="C931" s="388">
        <v>46083</v>
      </c>
      <c r="D931" s="392" t="s">
        <v>353</v>
      </c>
      <c r="E931" s="394" t="s">
        <v>336</v>
      </c>
      <c r="F931" s="404">
        <v>4553.5</v>
      </c>
      <c r="G931" s="397" t="s">
        <v>1774</v>
      </c>
      <c r="H931" s="389" t="s">
        <v>280</v>
      </c>
      <c r="I931" s="394" t="s">
        <v>744</v>
      </c>
      <c r="J931" s="455">
        <v>7837375000150</v>
      </c>
      <c r="K931" s="394" t="str">
        <f t="shared" si="42"/>
        <v>XXX737500015XX</v>
      </c>
      <c r="L931" s="391" t="s">
        <v>1996</v>
      </c>
      <c r="M931" s="398" t="s">
        <v>732</v>
      </c>
      <c r="N931" s="399">
        <v>32026</v>
      </c>
      <c r="O931" s="399" t="s">
        <v>1521</v>
      </c>
      <c r="P931" s="398" t="s">
        <v>1563</v>
      </c>
    </row>
    <row r="932" spans="1:16" s="401" customFormat="1" ht="24">
      <c r="A932" s="452">
        <f t="shared" si="41"/>
        <v>929</v>
      </c>
      <c r="B932" s="387">
        <v>46112</v>
      </c>
      <c r="C932" s="388">
        <v>46083</v>
      </c>
      <c r="D932" s="392" t="s">
        <v>353</v>
      </c>
      <c r="E932" s="394" t="s">
        <v>336</v>
      </c>
      <c r="F932" s="404">
        <v>42080.04</v>
      </c>
      <c r="G932" s="397" t="s">
        <v>1777</v>
      </c>
      <c r="H932" s="389" t="s">
        <v>280</v>
      </c>
      <c r="I932" s="394" t="s">
        <v>744</v>
      </c>
      <c r="J932" s="455">
        <v>7837375000150</v>
      </c>
      <c r="K932" s="394" t="str">
        <f t="shared" si="42"/>
        <v>XXX737500015XX</v>
      </c>
      <c r="L932" s="391" t="s">
        <v>1996</v>
      </c>
      <c r="M932" s="398" t="s">
        <v>733</v>
      </c>
      <c r="N932" s="399">
        <v>32026</v>
      </c>
      <c r="O932" s="399" t="s">
        <v>1521</v>
      </c>
      <c r="P932" s="398" t="s">
        <v>1564</v>
      </c>
    </row>
    <row r="933" spans="1:16" s="401" customFormat="1" ht="24">
      <c r="A933" s="452">
        <f t="shared" si="41"/>
        <v>930</v>
      </c>
      <c r="B933" s="387">
        <v>46112</v>
      </c>
      <c r="C933" s="388">
        <v>46083</v>
      </c>
      <c r="D933" s="392" t="s">
        <v>353</v>
      </c>
      <c r="E933" s="394" t="s">
        <v>336</v>
      </c>
      <c r="F933" s="404">
        <v>-5676.29</v>
      </c>
      <c r="G933" s="397" t="s">
        <v>1778</v>
      </c>
      <c r="H933" s="389" t="s">
        <v>280</v>
      </c>
      <c r="I933" s="394" t="s">
        <v>744</v>
      </c>
      <c r="J933" s="455">
        <v>7837375000150</v>
      </c>
      <c r="K933" s="394" t="str">
        <f t="shared" si="42"/>
        <v>XXX737500015XX</v>
      </c>
      <c r="L933" s="391" t="s">
        <v>1996</v>
      </c>
      <c r="M933" s="398" t="s">
        <v>731</v>
      </c>
      <c r="N933" s="399">
        <v>32026</v>
      </c>
      <c r="O933" s="399" t="s">
        <v>1521</v>
      </c>
      <c r="P933" s="398" t="s">
        <v>1564</v>
      </c>
    </row>
    <row r="934" spans="1:16" s="401" customFormat="1" ht="36">
      <c r="A934" s="429">
        <f t="shared" si="41"/>
        <v>931</v>
      </c>
      <c r="B934" s="387">
        <v>46113</v>
      </c>
      <c r="C934" s="388">
        <v>45962</v>
      </c>
      <c r="D934" s="392" t="s">
        <v>353</v>
      </c>
      <c r="E934" s="480" t="s">
        <v>334</v>
      </c>
      <c r="F934" s="404">
        <v>120000</v>
      </c>
      <c r="G934" s="397" t="s">
        <v>2518</v>
      </c>
      <c r="H934" s="389" t="s">
        <v>280</v>
      </c>
      <c r="I934" s="394" t="s">
        <v>744</v>
      </c>
      <c r="J934" s="455">
        <v>7837375000150</v>
      </c>
      <c r="K934" s="394" t="str">
        <f t="shared" ref="K934" si="43">IF(J934="","",IF(LEN(J934)&gt;14,IF(ISBLANK(J934),"",J934),REPLACE(REPLACE(J934,1,3,"XXX"),13,2,"XX")))</f>
        <v>XXX737500015XX</v>
      </c>
      <c r="L934" s="391"/>
      <c r="M934" s="398" t="s">
        <v>708</v>
      </c>
      <c r="N934" s="399">
        <v>202557</v>
      </c>
      <c r="O934" s="399" t="s">
        <v>822</v>
      </c>
      <c r="P934" s="398" t="s">
        <v>576</v>
      </c>
    </row>
    <row r="935" spans="1:16" s="401" customFormat="1" ht="36">
      <c r="A935" s="429">
        <f t="shared" ref="A935:A936" si="44">IF(B935="","",ROW()-ROW($A$3))</f>
        <v>932</v>
      </c>
      <c r="B935" s="387">
        <v>46118</v>
      </c>
      <c r="C935" s="388">
        <v>45962</v>
      </c>
      <c r="D935" s="392" t="s">
        <v>353</v>
      </c>
      <c r="E935" s="480" t="s">
        <v>334</v>
      </c>
      <c r="F935" s="404">
        <v>-120000</v>
      </c>
      <c r="G935" s="397" t="s">
        <v>2519</v>
      </c>
      <c r="H935" s="389" t="s">
        <v>280</v>
      </c>
      <c r="I935" s="394" t="s">
        <v>744</v>
      </c>
      <c r="J935" s="455">
        <v>7837375000150</v>
      </c>
      <c r="K935" s="394" t="str">
        <f t="shared" si="42"/>
        <v>XXX737500015XX</v>
      </c>
      <c r="L935" s="391"/>
      <c r="M935" s="398" t="s">
        <v>708</v>
      </c>
      <c r="N935" s="399">
        <v>202557</v>
      </c>
      <c r="O935" s="399" t="s">
        <v>822</v>
      </c>
      <c r="P935" s="398" t="s">
        <v>576</v>
      </c>
    </row>
    <row r="936" spans="1:16" s="401" customFormat="1" ht="84">
      <c r="A936" s="429">
        <f t="shared" si="44"/>
        <v>933</v>
      </c>
      <c r="B936" s="387">
        <v>46113</v>
      </c>
      <c r="C936" s="388">
        <v>46082</v>
      </c>
      <c r="D936" s="392" t="s">
        <v>248</v>
      </c>
      <c r="E936" s="398" t="s">
        <v>596</v>
      </c>
      <c r="F936" s="404">
        <v>11361.03</v>
      </c>
      <c r="G936" s="397" t="s">
        <v>2260</v>
      </c>
      <c r="H936" s="389" t="s">
        <v>737</v>
      </c>
      <c r="I936" s="398" t="s">
        <v>1040</v>
      </c>
      <c r="J936" s="399" t="s">
        <v>1041</v>
      </c>
      <c r="K936" s="394" t="str">
        <f t="shared" si="42"/>
        <v>XXX820800001XX</v>
      </c>
      <c r="L936" s="391"/>
      <c r="M936" s="398" t="s">
        <v>707</v>
      </c>
      <c r="N936" s="399">
        <v>14</v>
      </c>
      <c r="O936" s="399" t="s">
        <v>1529</v>
      </c>
      <c r="P936" s="398" t="s">
        <v>868</v>
      </c>
    </row>
    <row r="937" spans="1:16" s="401" customFormat="1" ht="48">
      <c r="A937" s="429">
        <f t="shared" ref="A937:A973" si="45">IF(B937="","",ROW()-ROW($A$3))</f>
        <v>934</v>
      </c>
      <c r="B937" s="387">
        <v>46113</v>
      </c>
      <c r="C937" s="388">
        <v>46113</v>
      </c>
      <c r="D937" s="392" t="s">
        <v>248</v>
      </c>
      <c r="E937" s="398" t="s">
        <v>607</v>
      </c>
      <c r="F937" s="491">
        <v>41.12</v>
      </c>
      <c r="G937" s="397" t="s">
        <v>2261</v>
      </c>
      <c r="H937" s="389" t="s">
        <v>736</v>
      </c>
      <c r="I937" s="398" t="s">
        <v>2953</v>
      </c>
      <c r="J937" s="399" t="s">
        <v>2954</v>
      </c>
      <c r="K937" s="394" t="str">
        <f t="shared" si="42"/>
        <v>26.068.130/0003-11</v>
      </c>
      <c r="L937" s="391"/>
      <c r="M937" s="398" t="s">
        <v>710</v>
      </c>
      <c r="N937" s="399">
        <v>205760</v>
      </c>
      <c r="O937" s="399" t="s">
        <v>2089</v>
      </c>
      <c r="P937" s="391" t="s">
        <v>2525</v>
      </c>
    </row>
    <row r="938" spans="1:16" s="401" customFormat="1" ht="24">
      <c r="A938" s="429">
        <f t="shared" si="45"/>
        <v>935</v>
      </c>
      <c r="B938" s="387">
        <v>46113</v>
      </c>
      <c r="C938" s="388">
        <v>46082</v>
      </c>
      <c r="D938" s="392" t="s">
        <v>166</v>
      </c>
      <c r="E938" s="480" t="s">
        <v>10</v>
      </c>
      <c r="F938" s="491">
        <v>35100.550000000003</v>
      </c>
      <c r="G938" s="397" t="s">
        <v>2262</v>
      </c>
      <c r="H938" s="389" t="s">
        <v>166</v>
      </c>
      <c r="I938" s="398" t="s">
        <v>647</v>
      </c>
      <c r="J938" s="399" t="s">
        <v>648</v>
      </c>
      <c r="K938" s="394" t="str">
        <f t="shared" si="42"/>
        <v>XXX603050001XX</v>
      </c>
      <c r="L938" s="391"/>
      <c r="M938" s="398" t="s">
        <v>718</v>
      </c>
      <c r="N938" s="399">
        <v>42026</v>
      </c>
      <c r="O938" s="399" t="s">
        <v>1521</v>
      </c>
      <c r="P938" s="398" t="s">
        <v>573</v>
      </c>
    </row>
    <row r="939" spans="1:16" s="401" customFormat="1" ht="36">
      <c r="A939" s="429">
        <f t="shared" si="45"/>
        <v>936</v>
      </c>
      <c r="B939" s="387">
        <v>46113</v>
      </c>
      <c r="C939" s="388">
        <v>46113</v>
      </c>
      <c r="D939" s="392" t="s">
        <v>353</v>
      </c>
      <c r="E939" s="480" t="s">
        <v>334</v>
      </c>
      <c r="F939" s="404">
        <v>600</v>
      </c>
      <c r="G939" s="397" t="s">
        <v>2263</v>
      </c>
      <c r="H939" s="389" t="s">
        <v>280</v>
      </c>
      <c r="I939" s="394" t="s">
        <v>744</v>
      </c>
      <c r="J939" s="455">
        <v>7837375000150</v>
      </c>
      <c r="K939" s="394" t="str">
        <f t="shared" si="42"/>
        <v>XXX737500015XX</v>
      </c>
      <c r="L939" s="391"/>
      <c r="M939" s="398" t="s">
        <v>711</v>
      </c>
      <c r="N939" s="399">
        <v>42026</v>
      </c>
      <c r="O939" s="399" t="s">
        <v>2089</v>
      </c>
      <c r="P939" s="398" t="s">
        <v>576</v>
      </c>
    </row>
    <row r="940" spans="1:16" s="401" customFormat="1" ht="36">
      <c r="A940" s="429">
        <f t="shared" si="45"/>
        <v>937</v>
      </c>
      <c r="B940" s="387">
        <v>46113</v>
      </c>
      <c r="C940" s="388">
        <v>46113</v>
      </c>
      <c r="D940" s="392" t="s">
        <v>353</v>
      </c>
      <c r="E940" s="480" t="s">
        <v>334</v>
      </c>
      <c r="F940" s="404">
        <v>600</v>
      </c>
      <c r="G940" s="397" t="s">
        <v>2264</v>
      </c>
      <c r="H940" s="389" t="s">
        <v>280</v>
      </c>
      <c r="I940" s="394" t="s">
        <v>744</v>
      </c>
      <c r="J940" s="455">
        <v>7837375000150</v>
      </c>
      <c r="K940" s="394" t="str">
        <f t="shared" si="42"/>
        <v>XXX737500015XX</v>
      </c>
      <c r="L940" s="391"/>
      <c r="M940" s="398" t="s">
        <v>711</v>
      </c>
      <c r="N940" s="399">
        <v>42026</v>
      </c>
      <c r="O940" s="399" t="s">
        <v>2089</v>
      </c>
      <c r="P940" s="398" t="s">
        <v>576</v>
      </c>
    </row>
    <row r="941" spans="1:16" s="401" customFormat="1" ht="48">
      <c r="A941" s="429">
        <f t="shared" si="45"/>
        <v>938</v>
      </c>
      <c r="B941" s="387">
        <v>46113</v>
      </c>
      <c r="C941" s="388">
        <v>46113</v>
      </c>
      <c r="D941" s="392" t="s">
        <v>353</v>
      </c>
      <c r="E941" s="480" t="s">
        <v>334</v>
      </c>
      <c r="F941" s="404">
        <v>1580.45</v>
      </c>
      <c r="G941" s="397" t="s">
        <v>2265</v>
      </c>
      <c r="H941" s="389" t="s">
        <v>280</v>
      </c>
      <c r="I941" s="394" t="s">
        <v>744</v>
      </c>
      <c r="J941" s="455">
        <v>7837375000150</v>
      </c>
      <c r="K941" s="394" t="str">
        <f t="shared" si="42"/>
        <v>XXX737500015XX</v>
      </c>
      <c r="L941" s="391"/>
      <c r="M941" s="398" t="s">
        <v>711</v>
      </c>
      <c r="N941" s="399">
        <v>42026</v>
      </c>
      <c r="O941" s="399" t="s">
        <v>2089</v>
      </c>
      <c r="P941" s="398" t="s">
        <v>576</v>
      </c>
    </row>
    <row r="942" spans="1:16" s="401" customFormat="1" ht="36">
      <c r="A942" s="429">
        <f t="shared" si="45"/>
        <v>939</v>
      </c>
      <c r="B942" s="387">
        <v>46114</v>
      </c>
      <c r="C942" s="388">
        <v>46082</v>
      </c>
      <c r="D942" s="392" t="s">
        <v>248</v>
      </c>
      <c r="E942" s="481" t="s">
        <v>170</v>
      </c>
      <c r="F942" s="404">
        <v>1602.4</v>
      </c>
      <c r="G942" s="397" t="s">
        <v>2266</v>
      </c>
      <c r="H942" s="389" t="s">
        <v>278</v>
      </c>
      <c r="I942" s="398" t="s">
        <v>628</v>
      </c>
      <c r="J942" s="399" t="s">
        <v>629</v>
      </c>
      <c r="K942" s="394" t="str">
        <f t="shared" si="42"/>
        <v>XXX905900001XX</v>
      </c>
      <c r="L942" s="391"/>
      <c r="M942" s="398" t="s">
        <v>704</v>
      </c>
      <c r="N942" s="399">
        <v>16534141</v>
      </c>
      <c r="O942" s="399" t="s">
        <v>1521</v>
      </c>
      <c r="P942" s="398" t="s">
        <v>574</v>
      </c>
    </row>
    <row r="943" spans="1:16" s="401" customFormat="1" ht="96" customHeight="1">
      <c r="A943" s="429">
        <f t="shared" si="45"/>
        <v>940</v>
      </c>
      <c r="B943" s="387">
        <v>46114</v>
      </c>
      <c r="C943" s="388">
        <v>46054</v>
      </c>
      <c r="D943" s="392" t="s">
        <v>248</v>
      </c>
      <c r="E943" s="481" t="s">
        <v>170</v>
      </c>
      <c r="F943" s="404">
        <v>19.899999999999999</v>
      </c>
      <c r="G943" s="397" t="s">
        <v>2267</v>
      </c>
      <c r="H943" s="392" t="s">
        <v>737</v>
      </c>
      <c r="I943" s="398" t="s">
        <v>616</v>
      </c>
      <c r="J943" s="399" t="s">
        <v>617</v>
      </c>
      <c r="K943" s="394" t="str">
        <f t="shared" si="42"/>
        <v>XXX239040003XX</v>
      </c>
      <c r="L943" s="391"/>
      <c r="M943" s="398" t="s">
        <v>704</v>
      </c>
      <c r="N943" s="399">
        <v>817401</v>
      </c>
      <c r="O943" s="399" t="s">
        <v>1523</v>
      </c>
      <c r="P943" s="398" t="s">
        <v>574</v>
      </c>
    </row>
    <row r="944" spans="1:16" s="401" customFormat="1" ht="36">
      <c r="A944" s="429">
        <f t="shared" si="45"/>
        <v>941</v>
      </c>
      <c r="B944" s="387">
        <v>46114</v>
      </c>
      <c r="C944" s="388">
        <v>46082</v>
      </c>
      <c r="D944" s="392" t="s">
        <v>248</v>
      </c>
      <c r="E944" s="398" t="s">
        <v>582</v>
      </c>
      <c r="F944" s="404">
        <v>1820.23</v>
      </c>
      <c r="G944" s="397" t="s">
        <v>2268</v>
      </c>
      <c r="H944" s="392" t="s">
        <v>1029</v>
      </c>
      <c r="I944" s="398" t="s">
        <v>613</v>
      </c>
      <c r="J944" s="399" t="s">
        <v>773</v>
      </c>
      <c r="K944" s="394" t="str">
        <f t="shared" si="42"/>
        <v>XXX000000000XX</v>
      </c>
      <c r="L944" s="391"/>
      <c r="M944" s="398" t="s">
        <v>704</v>
      </c>
      <c r="N944" s="399">
        <v>26152811</v>
      </c>
      <c r="O944" s="399" t="s">
        <v>1520</v>
      </c>
      <c r="P944" s="398" t="s">
        <v>574</v>
      </c>
    </row>
    <row r="945" spans="1:16" s="401" customFormat="1" ht="60">
      <c r="A945" s="429">
        <f t="shared" si="45"/>
        <v>942</v>
      </c>
      <c r="B945" s="387">
        <v>46114</v>
      </c>
      <c r="C945" s="388">
        <v>46082</v>
      </c>
      <c r="D945" s="392" t="s">
        <v>248</v>
      </c>
      <c r="E945" s="398" t="s">
        <v>597</v>
      </c>
      <c r="F945" s="404">
        <v>627.07000000000005</v>
      </c>
      <c r="G945" s="397" t="s">
        <v>2269</v>
      </c>
      <c r="H945" s="392" t="s">
        <v>278</v>
      </c>
      <c r="I945" s="398" t="s">
        <v>1421</v>
      </c>
      <c r="J945" s="399" t="s">
        <v>2120</v>
      </c>
      <c r="K945" s="394" t="str">
        <f t="shared" si="42"/>
        <v>XXX838110012XX</v>
      </c>
      <c r="L945" s="391"/>
      <c r="M945" s="398" t="s">
        <v>704</v>
      </c>
      <c r="N945" s="399">
        <v>417361</v>
      </c>
      <c r="O945" s="399" t="s">
        <v>1533</v>
      </c>
      <c r="P945" s="398" t="s">
        <v>574</v>
      </c>
    </row>
    <row r="946" spans="1:16" s="401" customFormat="1" ht="60">
      <c r="A946" s="429">
        <f t="shared" si="45"/>
        <v>943</v>
      </c>
      <c r="B946" s="387">
        <v>46114</v>
      </c>
      <c r="C946" s="388">
        <v>46082</v>
      </c>
      <c r="D946" s="392" t="s">
        <v>248</v>
      </c>
      <c r="E946" s="398" t="s">
        <v>597</v>
      </c>
      <c r="F946" s="404">
        <v>199.23</v>
      </c>
      <c r="G946" s="397" t="s">
        <v>2269</v>
      </c>
      <c r="H946" s="392" t="s">
        <v>278</v>
      </c>
      <c r="I946" s="398" t="s">
        <v>1421</v>
      </c>
      <c r="J946" s="399" t="s">
        <v>2120</v>
      </c>
      <c r="K946" s="394" t="str">
        <f t="shared" si="42"/>
        <v>XXX838110012XX</v>
      </c>
      <c r="L946" s="391"/>
      <c r="M946" s="398" t="s">
        <v>704</v>
      </c>
      <c r="N946" s="399">
        <v>417361</v>
      </c>
      <c r="O946" s="399" t="s">
        <v>1533</v>
      </c>
      <c r="P946" s="398" t="s">
        <v>574</v>
      </c>
    </row>
    <row r="947" spans="1:16" s="401" customFormat="1" ht="60">
      <c r="A947" s="429">
        <f t="shared" si="45"/>
        <v>944</v>
      </c>
      <c r="B947" s="387">
        <v>46114</v>
      </c>
      <c r="C947" s="388">
        <v>46082</v>
      </c>
      <c r="D947" s="392" t="s">
        <v>248</v>
      </c>
      <c r="E947" s="398" t="s">
        <v>597</v>
      </c>
      <c r="F947" s="404">
        <v>186.85</v>
      </c>
      <c r="G947" s="397" t="s">
        <v>2269</v>
      </c>
      <c r="H947" s="392" t="s">
        <v>278</v>
      </c>
      <c r="I947" s="398" t="s">
        <v>1421</v>
      </c>
      <c r="J947" s="399" t="s">
        <v>2120</v>
      </c>
      <c r="K947" s="394" t="str">
        <f t="shared" si="42"/>
        <v>XXX838110012XX</v>
      </c>
      <c r="L947" s="391"/>
      <c r="M947" s="398" t="s">
        <v>704</v>
      </c>
      <c r="N947" s="399">
        <v>417396</v>
      </c>
      <c r="O947" s="399" t="s">
        <v>1533</v>
      </c>
      <c r="P947" s="398" t="s">
        <v>574</v>
      </c>
    </row>
    <row r="948" spans="1:16" s="401" customFormat="1" ht="60">
      <c r="A948" s="429">
        <f t="shared" si="45"/>
        <v>945</v>
      </c>
      <c r="B948" s="387">
        <v>46114</v>
      </c>
      <c r="C948" s="388">
        <v>46082</v>
      </c>
      <c r="D948" s="392" t="s">
        <v>248</v>
      </c>
      <c r="E948" s="398" t="s">
        <v>597</v>
      </c>
      <c r="F948" s="404">
        <v>59.36</v>
      </c>
      <c r="G948" s="397" t="s">
        <v>2269</v>
      </c>
      <c r="H948" s="392" t="s">
        <v>278</v>
      </c>
      <c r="I948" s="398" t="s">
        <v>1421</v>
      </c>
      <c r="J948" s="399" t="s">
        <v>2120</v>
      </c>
      <c r="K948" s="394" t="str">
        <f t="shared" si="42"/>
        <v>XXX838110012XX</v>
      </c>
      <c r="L948" s="391"/>
      <c r="M948" s="398" t="s">
        <v>704</v>
      </c>
      <c r="N948" s="399">
        <v>417396</v>
      </c>
      <c r="O948" s="399" t="s">
        <v>1533</v>
      </c>
      <c r="P948" s="398" t="s">
        <v>574</v>
      </c>
    </row>
    <row r="949" spans="1:16" s="401" customFormat="1" ht="36">
      <c r="A949" s="429">
        <f t="shared" si="45"/>
        <v>946</v>
      </c>
      <c r="B949" s="387">
        <v>46114</v>
      </c>
      <c r="C949" s="388">
        <v>46082</v>
      </c>
      <c r="D949" s="392" t="s">
        <v>248</v>
      </c>
      <c r="E949" s="482" t="s">
        <v>78</v>
      </c>
      <c r="F949" s="404">
        <v>3541.76</v>
      </c>
      <c r="G949" s="397" t="s">
        <v>2270</v>
      </c>
      <c r="H949" s="389" t="s">
        <v>738</v>
      </c>
      <c r="I949" s="398" t="s">
        <v>1048</v>
      </c>
      <c r="J949" s="399" t="s">
        <v>1049</v>
      </c>
      <c r="K949" s="394" t="str">
        <f t="shared" si="42"/>
        <v>XXX832530001XX</v>
      </c>
      <c r="L949" s="391"/>
      <c r="M949" s="398" t="s">
        <v>704</v>
      </c>
      <c r="N949" s="399">
        <v>382</v>
      </c>
      <c r="O949" s="399" t="s">
        <v>1540</v>
      </c>
      <c r="P949" s="398" t="s">
        <v>868</v>
      </c>
    </row>
    <row r="950" spans="1:16" s="401" customFormat="1" ht="48">
      <c r="A950" s="429">
        <f t="shared" si="45"/>
        <v>947</v>
      </c>
      <c r="B950" s="387">
        <v>46114</v>
      </c>
      <c r="C950" s="388">
        <v>46082</v>
      </c>
      <c r="D950" s="392" t="s">
        <v>248</v>
      </c>
      <c r="E950" s="398" t="s">
        <v>590</v>
      </c>
      <c r="F950" s="404">
        <v>4410</v>
      </c>
      <c r="G950" s="397" t="s">
        <v>2271</v>
      </c>
      <c r="H950" s="389" t="s">
        <v>736</v>
      </c>
      <c r="I950" s="398" t="s">
        <v>2121</v>
      </c>
      <c r="J950" s="399" t="s">
        <v>2122</v>
      </c>
      <c r="K950" s="394" t="str">
        <f t="shared" si="42"/>
        <v>XXX216590001XX</v>
      </c>
      <c r="L950" s="391"/>
      <c r="M950" s="398" t="s">
        <v>719</v>
      </c>
      <c r="N950" s="399">
        <v>617</v>
      </c>
      <c r="O950" s="399" t="s">
        <v>1541</v>
      </c>
      <c r="P950" s="398" t="s">
        <v>868</v>
      </c>
    </row>
    <row r="951" spans="1:16" s="401" customFormat="1" ht="48">
      <c r="A951" s="429">
        <f t="shared" si="45"/>
        <v>948</v>
      </c>
      <c r="B951" s="387">
        <v>46114</v>
      </c>
      <c r="C951" s="388">
        <v>46082</v>
      </c>
      <c r="D951" s="392" t="s">
        <v>248</v>
      </c>
      <c r="E951" s="398" t="s">
        <v>2254</v>
      </c>
      <c r="F951" s="404">
        <v>4747.76</v>
      </c>
      <c r="G951" s="397" t="s">
        <v>2272</v>
      </c>
      <c r="H951" s="389" t="s">
        <v>737</v>
      </c>
      <c r="I951" s="398" t="s">
        <v>2123</v>
      </c>
      <c r="J951" s="399" t="s">
        <v>2124</v>
      </c>
      <c r="K951" s="394" t="str">
        <f t="shared" si="42"/>
        <v>XXX563670001XX</v>
      </c>
      <c r="L951" s="391"/>
      <c r="M951" s="398" t="s">
        <v>707</v>
      </c>
      <c r="N951" s="399">
        <v>51</v>
      </c>
      <c r="O951" s="399" t="s">
        <v>1541</v>
      </c>
      <c r="P951" s="398" t="s">
        <v>868</v>
      </c>
    </row>
    <row r="952" spans="1:16" s="401" customFormat="1" ht="60">
      <c r="A952" s="429">
        <f t="shared" si="45"/>
        <v>949</v>
      </c>
      <c r="B952" s="387">
        <v>46114</v>
      </c>
      <c r="C952" s="388">
        <v>46082</v>
      </c>
      <c r="D952" s="392" t="s">
        <v>248</v>
      </c>
      <c r="E952" s="398" t="s">
        <v>598</v>
      </c>
      <c r="F952" s="404">
        <v>800</v>
      </c>
      <c r="G952" s="397" t="s">
        <v>2273</v>
      </c>
      <c r="H952" s="389" t="s">
        <v>736</v>
      </c>
      <c r="I952" s="398" t="s">
        <v>2125</v>
      </c>
      <c r="J952" s="399" t="s">
        <v>2126</v>
      </c>
      <c r="K952" s="394" t="str">
        <f t="shared" si="42"/>
        <v>XXX393240001XX</v>
      </c>
      <c r="L952" s="391"/>
      <c r="M952" s="398" t="s">
        <v>719</v>
      </c>
      <c r="N952" s="399">
        <v>8</v>
      </c>
      <c r="O952" s="399" t="s">
        <v>1541</v>
      </c>
      <c r="P952" s="398" t="s">
        <v>868</v>
      </c>
    </row>
    <row r="953" spans="1:16" s="401" customFormat="1" ht="36">
      <c r="A953" s="429">
        <f t="shared" si="45"/>
        <v>950</v>
      </c>
      <c r="B953" s="387">
        <v>46114</v>
      </c>
      <c r="C953" s="388">
        <v>46082</v>
      </c>
      <c r="D953" s="392" t="s">
        <v>248</v>
      </c>
      <c r="E953" s="398" t="s">
        <v>608</v>
      </c>
      <c r="F953" s="404">
        <v>126</v>
      </c>
      <c r="G953" s="397" t="s">
        <v>2274</v>
      </c>
      <c r="H953" s="389" t="s">
        <v>278</v>
      </c>
      <c r="I953" s="398" t="s">
        <v>2127</v>
      </c>
      <c r="J953" s="399" t="s">
        <v>2128</v>
      </c>
      <c r="K953" s="394" t="str">
        <f t="shared" si="42"/>
        <v>XXX84251643 XX</v>
      </c>
      <c r="L953" s="391"/>
      <c r="M953" s="398" t="s">
        <v>708</v>
      </c>
      <c r="N953" s="399">
        <v>24</v>
      </c>
      <c r="O953" s="399" t="s">
        <v>2108</v>
      </c>
      <c r="P953" s="398" t="s">
        <v>574</v>
      </c>
    </row>
    <row r="954" spans="1:16" s="401" customFormat="1" ht="36">
      <c r="A954" s="429">
        <f t="shared" si="45"/>
        <v>951</v>
      </c>
      <c r="B954" s="387">
        <v>46114</v>
      </c>
      <c r="C954" s="388">
        <v>46082</v>
      </c>
      <c r="D954" s="392" t="s">
        <v>248</v>
      </c>
      <c r="E954" s="398" t="s">
        <v>588</v>
      </c>
      <c r="F954" s="404">
        <v>382.4</v>
      </c>
      <c r="G954" s="397" t="s">
        <v>2275</v>
      </c>
      <c r="H954" s="389" t="s">
        <v>278</v>
      </c>
      <c r="I954" s="398" t="s">
        <v>630</v>
      </c>
      <c r="J954" s="399" t="s">
        <v>631</v>
      </c>
      <c r="K954" s="394" t="str">
        <f t="shared" si="42"/>
        <v>XXX956460001XX</v>
      </c>
      <c r="L954" s="391"/>
      <c r="M954" s="398" t="s">
        <v>704</v>
      </c>
      <c r="N954" s="399">
        <v>24473</v>
      </c>
      <c r="O954" s="399" t="s">
        <v>1521</v>
      </c>
      <c r="P954" s="398" t="s">
        <v>574</v>
      </c>
    </row>
    <row r="955" spans="1:16" s="401" customFormat="1" ht="84">
      <c r="A955" s="429">
        <f t="shared" si="45"/>
        <v>952</v>
      </c>
      <c r="B955" s="387">
        <v>46114</v>
      </c>
      <c r="C955" s="388">
        <v>46082</v>
      </c>
      <c r="D955" s="392" t="s">
        <v>248</v>
      </c>
      <c r="E955" s="398" t="s">
        <v>598</v>
      </c>
      <c r="F955" s="404">
        <v>3108.24</v>
      </c>
      <c r="G955" s="397" t="s">
        <v>2276</v>
      </c>
      <c r="H955" s="389" t="s">
        <v>736</v>
      </c>
      <c r="I955" s="398" t="s">
        <v>2129</v>
      </c>
      <c r="J955" s="399" t="s">
        <v>2130</v>
      </c>
      <c r="K955" s="394" t="str">
        <f t="shared" si="42"/>
        <v>XXX810320001XX</v>
      </c>
      <c r="L955" s="391"/>
      <c r="M955" s="398" t="s">
        <v>707</v>
      </c>
      <c r="N955" s="399">
        <v>12</v>
      </c>
      <c r="O955" s="399" t="s">
        <v>2109</v>
      </c>
      <c r="P955" s="398" t="s">
        <v>868</v>
      </c>
    </row>
    <row r="956" spans="1:16" s="401" customFormat="1" ht="36">
      <c r="A956" s="429">
        <f t="shared" si="45"/>
        <v>953</v>
      </c>
      <c r="B956" s="387">
        <v>46114</v>
      </c>
      <c r="C956" s="388">
        <v>46082</v>
      </c>
      <c r="D956" s="392" t="s">
        <v>248</v>
      </c>
      <c r="E956" s="398" t="s">
        <v>1219</v>
      </c>
      <c r="F956" s="404">
        <v>2335</v>
      </c>
      <c r="G956" s="397" t="s">
        <v>2277</v>
      </c>
      <c r="H956" s="389" t="s">
        <v>736</v>
      </c>
      <c r="I956" s="398" t="s">
        <v>1161</v>
      </c>
      <c r="J956" s="399" t="s">
        <v>1162</v>
      </c>
      <c r="K956" s="394" t="str">
        <f t="shared" si="42"/>
        <v>XXX824370001XX</v>
      </c>
      <c r="L956" s="391"/>
      <c r="M956" s="398" t="s">
        <v>707</v>
      </c>
      <c r="N956" s="399">
        <v>127</v>
      </c>
      <c r="O956" s="399" t="s">
        <v>1538</v>
      </c>
      <c r="P956" s="398" t="s">
        <v>868</v>
      </c>
    </row>
    <row r="957" spans="1:16" s="401" customFormat="1" ht="48">
      <c r="A957" s="429">
        <f t="shared" si="45"/>
        <v>954</v>
      </c>
      <c r="B957" s="387">
        <v>46114</v>
      </c>
      <c r="C957" s="388">
        <v>46082</v>
      </c>
      <c r="D957" s="392" t="s">
        <v>248</v>
      </c>
      <c r="E957" s="398" t="s">
        <v>608</v>
      </c>
      <c r="F957" s="404">
        <v>8125</v>
      </c>
      <c r="G957" s="397" t="s">
        <v>1582</v>
      </c>
      <c r="H957" s="389" t="s">
        <v>1029</v>
      </c>
      <c r="I957" s="398" t="s">
        <v>1429</v>
      </c>
      <c r="J957" s="399" t="s">
        <v>1430</v>
      </c>
      <c r="K957" s="394" t="str">
        <f t="shared" si="42"/>
        <v>XXX575760001XX</v>
      </c>
      <c r="L957" s="391"/>
      <c r="M957" s="398" t="s">
        <v>708</v>
      </c>
      <c r="N957" s="399">
        <v>29</v>
      </c>
      <c r="O957" s="399" t="s">
        <v>2109</v>
      </c>
      <c r="P957" s="398" t="s">
        <v>574</v>
      </c>
    </row>
    <row r="958" spans="1:16" s="401" customFormat="1" ht="72">
      <c r="A958" s="429">
        <f t="shared" si="45"/>
        <v>955</v>
      </c>
      <c r="B958" s="387">
        <v>46114</v>
      </c>
      <c r="C958" s="388">
        <v>46082</v>
      </c>
      <c r="D958" s="392" t="s">
        <v>248</v>
      </c>
      <c r="E958" s="398" t="s">
        <v>610</v>
      </c>
      <c r="F958" s="404">
        <v>3166.9</v>
      </c>
      <c r="G958" s="397" t="s">
        <v>2278</v>
      </c>
      <c r="H958" s="389" t="s">
        <v>736</v>
      </c>
      <c r="I958" s="398" t="s">
        <v>686</v>
      </c>
      <c r="J958" s="399" t="s">
        <v>687</v>
      </c>
      <c r="K958" s="394" t="str">
        <f t="shared" si="42"/>
        <v>XXX900500001XX</v>
      </c>
      <c r="L958" s="391"/>
      <c r="M958" s="398" t="s">
        <v>719</v>
      </c>
      <c r="N958" s="399">
        <v>37326</v>
      </c>
      <c r="O958" s="399" t="s">
        <v>2109</v>
      </c>
      <c r="P958" s="398" t="s">
        <v>868</v>
      </c>
    </row>
    <row r="959" spans="1:16" s="401" customFormat="1" ht="48">
      <c r="A959" s="429">
        <f t="shared" si="45"/>
        <v>956</v>
      </c>
      <c r="B959" s="387">
        <v>46114</v>
      </c>
      <c r="C959" s="388">
        <v>46082</v>
      </c>
      <c r="D959" s="392" t="s">
        <v>248</v>
      </c>
      <c r="E959" s="398" t="s">
        <v>610</v>
      </c>
      <c r="F959" s="404">
        <v>1491.58</v>
      </c>
      <c r="G959" s="397" t="s">
        <v>2279</v>
      </c>
      <c r="H959" s="389" t="s">
        <v>736</v>
      </c>
      <c r="I959" s="398" t="s">
        <v>686</v>
      </c>
      <c r="J959" s="399" t="s">
        <v>687</v>
      </c>
      <c r="K959" s="394" t="str">
        <f t="shared" si="42"/>
        <v>XXX900500001XX</v>
      </c>
      <c r="L959" s="391"/>
      <c r="M959" s="398" t="s">
        <v>719</v>
      </c>
      <c r="N959" s="399">
        <v>37327</v>
      </c>
      <c r="O959" s="399" t="s">
        <v>2109</v>
      </c>
      <c r="P959" s="398" t="s">
        <v>868</v>
      </c>
    </row>
    <row r="960" spans="1:16" s="401" customFormat="1" ht="36">
      <c r="A960" s="429">
        <f t="shared" si="45"/>
        <v>957</v>
      </c>
      <c r="B960" s="387">
        <v>46114</v>
      </c>
      <c r="C960" s="388">
        <v>46082</v>
      </c>
      <c r="D960" s="392" t="s">
        <v>248</v>
      </c>
      <c r="E960" s="398" t="s">
        <v>1215</v>
      </c>
      <c r="F960" s="404">
        <v>899.98</v>
      </c>
      <c r="G960" s="397" t="s">
        <v>1319</v>
      </c>
      <c r="H960" s="389" t="s">
        <v>278</v>
      </c>
      <c r="I960" s="398" t="s">
        <v>2131</v>
      </c>
      <c r="J960" s="399" t="s">
        <v>2132</v>
      </c>
      <c r="K960" s="394" t="str">
        <f t="shared" si="42"/>
        <v>XXX18054204 XX</v>
      </c>
      <c r="L960" s="391"/>
      <c r="M960" s="398" t="s">
        <v>708</v>
      </c>
      <c r="N960" s="399">
        <v>74871</v>
      </c>
      <c r="O960" s="399" t="s">
        <v>1538</v>
      </c>
      <c r="P960" s="398" t="s">
        <v>574</v>
      </c>
    </row>
    <row r="961" spans="1:16" s="401" customFormat="1" ht="36">
      <c r="A961" s="429">
        <f t="shared" si="45"/>
        <v>958</v>
      </c>
      <c r="B961" s="387">
        <v>46114</v>
      </c>
      <c r="C961" s="388">
        <v>46082</v>
      </c>
      <c r="D961" s="392" t="s">
        <v>248</v>
      </c>
      <c r="E961" s="398" t="s">
        <v>1551</v>
      </c>
      <c r="F961" s="404">
        <v>798.6</v>
      </c>
      <c r="G961" s="397" t="s">
        <v>2280</v>
      </c>
      <c r="H961" s="389" t="s">
        <v>737</v>
      </c>
      <c r="I961" s="398" t="s">
        <v>2133</v>
      </c>
      <c r="J961" s="399" t="s">
        <v>2134</v>
      </c>
      <c r="K961" s="394" t="str">
        <f t="shared" si="42"/>
        <v>XXX875400001XX</v>
      </c>
      <c r="L961" s="391"/>
      <c r="M961" s="398" t="s">
        <v>707</v>
      </c>
      <c r="N961" s="399">
        <v>20</v>
      </c>
      <c r="O961" s="399" t="s">
        <v>2109</v>
      </c>
      <c r="P961" s="398" t="s">
        <v>868</v>
      </c>
    </row>
    <row r="962" spans="1:16" s="401" customFormat="1" ht="36">
      <c r="A962" s="429">
        <f t="shared" si="45"/>
        <v>959</v>
      </c>
      <c r="B962" s="387">
        <v>46114</v>
      </c>
      <c r="C962" s="388">
        <v>46082</v>
      </c>
      <c r="D962" s="392" t="s">
        <v>248</v>
      </c>
      <c r="E962" s="398" t="s">
        <v>594</v>
      </c>
      <c r="F962" s="404">
        <v>8075</v>
      </c>
      <c r="G962" s="397" t="s">
        <v>2281</v>
      </c>
      <c r="H962" s="392" t="s">
        <v>737</v>
      </c>
      <c r="I962" s="398" t="s">
        <v>2135</v>
      </c>
      <c r="J962" s="399" t="s">
        <v>2136</v>
      </c>
      <c r="K962" s="394" t="str">
        <f t="shared" si="42"/>
        <v>XXX992210001XX</v>
      </c>
      <c r="L962" s="391"/>
      <c r="M962" s="398" t="s">
        <v>707</v>
      </c>
      <c r="N962" s="399">
        <v>15</v>
      </c>
      <c r="O962" s="399" t="s">
        <v>1538</v>
      </c>
      <c r="P962" s="398" t="s">
        <v>868</v>
      </c>
    </row>
    <row r="963" spans="1:16" s="401" customFormat="1" ht="48">
      <c r="A963" s="429">
        <f t="shared" si="45"/>
        <v>960</v>
      </c>
      <c r="B963" s="387">
        <v>46114</v>
      </c>
      <c r="C963" s="388">
        <v>46082</v>
      </c>
      <c r="D963" s="392" t="s">
        <v>248</v>
      </c>
      <c r="E963" s="398" t="s">
        <v>597</v>
      </c>
      <c r="F963" s="404">
        <v>943.56</v>
      </c>
      <c r="G963" s="397" t="s">
        <v>2282</v>
      </c>
      <c r="H963" s="392" t="s">
        <v>278</v>
      </c>
      <c r="I963" s="398" t="s">
        <v>664</v>
      </c>
      <c r="J963" s="399" t="s">
        <v>665</v>
      </c>
      <c r="K963" s="394" t="str">
        <f t="shared" si="42"/>
        <v>XXX070650001XX</v>
      </c>
      <c r="L963" s="391"/>
      <c r="M963" s="398" t="s">
        <v>708</v>
      </c>
      <c r="N963" s="399">
        <v>5061</v>
      </c>
      <c r="O963" s="399" t="s">
        <v>1538</v>
      </c>
      <c r="P963" s="398" t="s">
        <v>574</v>
      </c>
    </row>
    <row r="964" spans="1:16" s="401" customFormat="1" ht="36">
      <c r="A964" s="429">
        <f t="shared" si="45"/>
        <v>961</v>
      </c>
      <c r="B964" s="387">
        <v>46114</v>
      </c>
      <c r="C964" s="388">
        <v>46082</v>
      </c>
      <c r="D964" s="392" t="s">
        <v>248</v>
      </c>
      <c r="E964" s="398" t="s">
        <v>595</v>
      </c>
      <c r="F964" s="404">
        <v>3127.25</v>
      </c>
      <c r="G964" s="397" t="s">
        <v>2283</v>
      </c>
      <c r="H964" s="389" t="s">
        <v>738</v>
      </c>
      <c r="I964" s="398" t="s">
        <v>1151</v>
      </c>
      <c r="J964" s="399" t="s">
        <v>1152</v>
      </c>
      <c r="K964" s="394" t="str">
        <f t="shared" si="42"/>
        <v>XXX397370005XX</v>
      </c>
      <c r="L964" s="391"/>
      <c r="M964" s="398" t="s">
        <v>704</v>
      </c>
      <c r="N964" s="399">
        <v>20922</v>
      </c>
      <c r="O964" s="399" t="s">
        <v>1522</v>
      </c>
      <c r="P964" s="398" t="s">
        <v>868</v>
      </c>
    </row>
    <row r="965" spans="1:16" s="401" customFormat="1" ht="60">
      <c r="A965" s="429">
        <f t="shared" si="45"/>
        <v>962</v>
      </c>
      <c r="B965" s="387">
        <v>46114</v>
      </c>
      <c r="C965" s="388">
        <v>46082</v>
      </c>
      <c r="D965" s="392" t="s">
        <v>248</v>
      </c>
      <c r="E965" s="482" t="s">
        <v>78</v>
      </c>
      <c r="F965" s="404">
        <v>666.54</v>
      </c>
      <c r="G965" s="397" t="s">
        <v>2284</v>
      </c>
      <c r="H965" s="389" t="s">
        <v>736</v>
      </c>
      <c r="I965" s="398" t="s">
        <v>2137</v>
      </c>
      <c r="J965" s="399" t="s">
        <v>2138</v>
      </c>
      <c r="K965" s="394" t="str">
        <f t="shared" si="42"/>
        <v>XXX136960001XX</v>
      </c>
      <c r="L965" s="391"/>
      <c r="M965" s="398" t="s">
        <v>707</v>
      </c>
      <c r="N965" s="399">
        <v>15</v>
      </c>
      <c r="O965" s="399" t="s">
        <v>1538</v>
      </c>
      <c r="P965" s="398" t="s">
        <v>868</v>
      </c>
    </row>
    <row r="966" spans="1:16" s="401" customFormat="1" ht="36">
      <c r="A966" s="429">
        <f t="shared" si="45"/>
        <v>963</v>
      </c>
      <c r="B966" s="387">
        <v>46114</v>
      </c>
      <c r="C966" s="388">
        <v>46113</v>
      </c>
      <c r="D966" s="392" t="s">
        <v>248</v>
      </c>
      <c r="E966" s="398" t="s">
        <v>593</v>
      </c>
      <c r="F966" s="404">
        <v>26460</v>
      </c>
      <c r="G966" s="397" t="s">
        <v>2285</v>
      </c>
      <c r="H966" s="389" t="s">
        <v>736</v>
      </c>
      <c r="I966" s="398" t="s">
        <v>1061</v>
      </c>
      <c r="J966" s="399" t="s">
        <v>1062</v>
      </c>
      <c r="K966" s="394" t="str">
        <f t="shared" si="42"/>
        <v>XXX225430001XX</v>
      </c>
      <c r="L966" s="391"/>
      <c r="M966" s="398" t="s">
        <v>707</v>
      </c>
      <c r="N966" s="399">
        <v>113</v>
      </c>
      <c r="O966" s="399" t="s">
        <v>2089</v>
      </c>
      <c r="P966" s="398" t="s">
        <v>868</v>
      </c>
    </row>
    <row r="967" spans="1:16" s="401" customFormat="1" ht="48">
      <c r="A967" s="429">
        <f t="shared" si="45"/>
        <v>964</v>
      </c>
      <c r="B967" s="387">
        <v>46114</v>
      </c>
      <c r="C967" s="388">
        <v>46113</v>
      </c>
      <c r="D967" s="392" t="s">
        <v>248</v>
      </c>
      <c r="E967" s="398" t="s">
        <v>593</v>
      </c>
      <c r="F967" s="404">
        <v>99179.74</v>
      </c>
      <c r="G967" s="397" t="s">
        <v>2286</v>
      </c>
      <c r="H967" s="389" t="s">
        <v>736</v>
      </c>
      <c r="I967" s="398" t="s">
        <v>1059</v>
      </c>
      <c r="J967" s="399" t="s">
        <v>1060</v>
      </c>
      <c r="K967" s="394" t="str">
        <f t="shared" si="42"/>
        <v>XXX414930001XX</v>
      </c>
      <c r="L967" s="391"/>
      <c r="M967" s="398" t="s">
        <v>707</v>
      </c>
      <c r="N967" s="399">
        <v>3</v>
      </c>
      <c r="O967" s="399" t="s">
        <v>2089</v>
      </c>
      <c r="P967" s="398" t="s">
        <v>868</v>
      </c>
    </row>
    <row r="968" spans="1:16" s="401" customFormat="1" ht="48">
      <c r="A968" s="429">
        <f t="shared" si="45"/>
        <v>965</v>
      </c>
      <c r="B968" s="387">
        <v>46114</v>
      </c>
      <c r="C968" s="388">
        <v>46054</v>
      </c>
      <c r="D968" s="392" t="s">
        <v>132</v>
      </c>
      <c r="E968" s="398" t="s">
        <v>1220</v>
      </c>
      <c r="F968" s="404">
        <v>350</v>
      </c>
      <c r="G968" s="397" t="s">
        <v>2071</v>
      </c>
      <c r="H968" s="389" t="s">
        <v>736</v>
      </c>
      <c r="I968" s="398" t="s">
        <v>2139</v>
      </c>
      <c r="J968" s="399" t="s">
        <v>2140</v>
      </c>
      <c r="K968" s="394" t="str">
        <f t="shared" si="42"/>
        <v>XXX461720001XX</v>
      </c>
      <c r="L968" s="391"/>
      <c r="M968" s="398" t="s">
        <v>719</v>
      </c>
      <c r="N968" s="399">
        <v>59066</v>
      </c>
      <c r="O968" s="399" t="s">
        <v>1197</v>
      </c>
      <c r="P968" s="398" t="s">
        <v>868</v>
      </c>
    </row>
    <row r="969" spans="1:16" s="401" customFormat="1" ht="36">
      <c r="A969" s="429">
        <f t="shared" si="45"/>
        <v>966</v>
      </c>
      <c r="B969" s="387">
        <v>46114</v>
      </c>
      <c r="C969" s="388">
        <v>46113</v>
      </c>
      <c r="D969" s="392" t="s">
        <v>353</v>
      </c>
      <c r="E969" s="480" t="s">
        <v>153</v>
      </c>
      <c r="F969" s="404">
        <v>47594.6</v>
      </c>
      <c r="G969" s="397" t="s">
        <v>821</v>
      </c>
      <c r="H969" s="389" t="s">
        <v>280</v>
      </c>
      <c r="I969" s="394" t="s">
        <v>744</v>
      </c>
      <c r="J969" s="455">
        <v>7837375000150</v>
      </c>
      <c r="K969" s="394" t="str">
        <f t="shared" si="42"/>
        <v>XXX737500015XX</v>
      </c>
      <c r="L969" s="391"/>
      <c r="M969" s="398" t="s">
        <v>706</v>
      </c>
      <c r="N969" s="399">
        <v>2057887420</v>
      </c>
      <c r="O969" s="399" t="s">
        <v>2090</v>
      </c>
      <c r="P969" s="398" t="s">
        <v>574</v>
      </c>
    </row>
    <row r="970" spans="1:16" s="401" customFormat="1" ht="36">
      <c r="A970" s="429">
        <f t="shared" si="45"/>
        <v>967</v>
      </c>
      <c r="B970" s="387">
        <v>46114</v>
      </c>
      <c r="C970" s="388">
        <v>46082</v>
      </c>
      <c r="D970" s="392" t="s">
        <v>353</v>
      </c>
      <c r="E970" s="480" t="s">
        <v>153</v>
      </c>
      <c r="F970" s="404">
        <v>14121.23</v>
      </c>
      <c r="G970" s="397" t="s">
        <v>2287</v>
      </c>
      <c r="H970" s="389" t="s">
        <v>280</v>
      </c>
      <c r="I970" s="394" t="s">
        <v>744</v>
      </c>
      <c r="J970" s="455">
        <v>7837375000150</v>
      </c>
      <c r="K970" s="394" t="str">
        <f t="shared" si="42"/>
        <v>XXX737500015XX</v>
      </c>
      <c r="L970" s="391"/>
      <c r="M970" s="398" t="s">
        <v>726</v>
      </c>
      <c r="N970" s="399">
        <v>270326</v>
      </c>
      <c r="O970" s="399" t="s">
        <v>2110</v>
      </c>
      <c r="P970" s="398" t="s">
        <v>574</v>
      </c>
    </row>
    <row r="971" spans="1:16" s="401" customFormat="1" ht="36">
      <c r="A971" s="429">
        <f t="shared" si="45"/>
        <v>968</v>
      </c>
      <c r="B971" s="387">
        <v>46114</v>
      </c>
      <c r="C971" s="388">
        <v>46082</v>
      </c>
      <c r="D971" s="392" t="s">
        <v>353</v>
      </c>
      <c r="E971" s="480" t="s">
        <v>153</v>
      </c>
      <c r="F971" s="404">
        <v>13275.92</v>
      </c>
      <c r="G971" s="397" t="s">
        <v>2288</v>
      </c>
      <c r="H971" s="389" t="s">
        <v>280</v>
      </c>
      <c r="I971" s="394" t="s">
        <v>744</v>
      </c>
      <c r="J971" s="455">
        <v>7837375000150</v>
      </c>
      <c r="K971" s="394" t="str">
        <f t="shared" ref="K971:K1001" si="46">IF(J971="","",IF(LEN(J971)&gt;14,IF(ISBLANK(J971),"",J971),REPLACE(REPLACE(J971,1,3,"XXX"),13,2,"XX")))</f>
        <v>XXX737500015XX</v>
      </c>
      <c r="L971" s="391"/>
      <c r="M971" s="398" t="s">
        <v>726</v>
      </c>
      <c r="N971" s="399">
        <v>260326</v>
      </c>
      <c r="O971" s="399" t="s">
        <v>1542</v>
      </c>
      <c r="P971" s="398" t="s">
        <v>574</v>
      </c>
    </row>
    <row r="972" spans="1:16" s="401" customFormat="1" ht="36">
      <c r="A972" s="429">
        <f t="shared" si="45"/>
        <v>969</v>
      </c>
      <c r="B972" s="387">
        <v>46114</v>
      </c>
      <c r="C972" s="388">
        <v>46082</v>
      </c>
      <c r="D972" s="392" t="s">
        <v>166</v>
      </c>
      <c r="E972" s="398" t="s">
        <v>1210</v>
      </c>
      <c r="F972" s="491">
        <v>1045573</v>
      </c>
      <c r="G972" s="397" t="s">
        <v>2289</v>
      </c>
      <c r="H972" s="389" t="s">
        <v>166</v>
      </c>
      <c r="I972" s="398" t="s">
        <v>744</v>
      </c>
      <c r="J972" s="399" t="s">
        <v>1058</v>
      </c>
      <c r="K972" s="394" t="str">
        <f t="shared" si="46"/>
        <v>XXX373750001XX</v>
      </c>
      <c r="L972" s="391"/>
      <c r="M972" s="398" t="s">
        <v>708</v>
      </c>
      <c r="N972" s="399">
        <v>196</v>
      </c>
      <c r="O972" s="399" t="s">
        <v>1521</v>
      </c>
      <c r="P972" s="398" t="s">
        <v>572</v>
      </c>
    </row>
    <row r="973" spans="1:16" s="401" customFormat="1" ht="36">
      <c r="A973" s="429">
        <f t="shared" si="45"/>
        <v>970</v>
      </c>
      <c r="B973" s="387">
        <v>46114</v>
      </c>
      <c r="C973" s="388">
        <v>46082</v>
      </c>
      <c r="D973" s="392" t="s">
        <v>166</v>
      </c>
      <c r="E973" s="398" t="s">
        <v>1210</v>
      </c>
      <c r="F973" s="491">
        <v>1621</v>
      </c>
      <c r="G973" s="397" t="s">
        <v>2290</v>
      </c>
      <c r="H973" s="389" t="s">
        <v>166</v>
      </c>
      <c r="I973" s="398" t="s">
        <v>744</v>
      </c>
      <c r="J973" s="399" t="s">
        <v>1058</v>
      </c>
      <c r="K973" s="394" t="str">
        <f t="shared" si="46"/>
        <v>XXX373750001XX</v>
      </c>
      <c r="L973" s="391"/>
      <c r="M973" s="398" t="s">
        <v>708</v>
      </c>
      <c r="N973" s="399">
        <v>196</v>
      </c>
      <c r="O973" s="399" t="s">
        <v>1521</v>
      </c>
      <c r="P973" s="398" t="s">
        <v>572</v>
      </c>
    </row>
    <row r="974" spans="1:16" s="401" customFormat="1" ht="48">
      <c r="A974" s="429">
        <f t="shared" ref="A974:A1018" si="47">IF(B974="","",ROW()-ROW($A$3))</f>
        <v>971</v>
      </c>
      <c r="B974" s="387">
        <v>46114</v>
      </c>
      <c r="C974" s="388">
        <v>46113</v>
      </c>
      <c r="D974" s="392" t="s">
        <v>248</v>
      </c>
      <c r="E974" s="398" t="s">
        <v>607</v>
      </c>
      <c r="F974" s="491">
        <v>106.32</v>
      </c>
      <c r="G974" s="397" t="s">
        <v>2291</v>
      </c>
      <c r="H974" s="389" t="s">
        <v>736</v>
      </c>
      <c r="I974" s="398" t="s">
        <v>2955</v>
      </c>
      <c r="J974" s="399" t="s">
        <v>2956</v>
      </c>
      <c r="K974" s="394" t="str">
        <f t="shared" si="46"/>
        <v>01.928.075/0016-86</v>
      </c>
      <c r="L974" s="403"/>
      <c r="M974" s="398" t="s">
        <v>710</v>
      </c>
      <c r="N974" s="399">
        <v>241793</v>
      </c>
      <c r="O974" s="399" t="s">
        <v>2090</v>
      </c>
      <c r="P974" s="391" t="s">
        <v>2525</v>
      </c>
    </row>
    <row r="975" spans="1:16" s="401" customFormat="1" ht="36">
      <c r="A975" s="429">
        <f t="shared" si="47"/>
        <v>972</v>
      </c>
      <c r="B975" s="387">
        <v>46114</v>
      </c>
      <c r="C975" s="388">
        <v>46082</v>
      </c>
      <c r="D975" s="392" t="s">
        <v>166</v>
      </c>
      <c r="E975" s="398" t="s">
        <v>1210</v>
      </c>
      <c r="F975" s="491">
        <v>4017.97</v>
      </c>
      <c r="G975" s="397" t="s">
        <v>2292</v>
      </c>
      <c r="H975" s="389" t="s">
        <v>166</v>
      </c>
      <c r="I975" s="398" t="s">
        <v>1446</v>
      </c>
      <c r="J975" s="399" t="s">
        <v>1447</v>
      </c>
      <c r="K975" s="394" t="str">
        <f t="shared" si="46"/>
        <v>XXX65233674 XX</v>
      </c>
      <c r="L975" s="403"/>
      <c r="M975" s="398" t="s">
        <v>708</v>
      </c>
      <c r="N975" s="399">
        <v>536</v>
      </c>
      <c r="O975" s="399" t="s">
        <v>1521</v>
      </c>
      <c r="P975" s="398" t="s">
        <v>572</v>
      </c>
    </row>
    <row r="976" spans="1:16" s="401" customFormat="1" ht="36">
      <c r="A976" s="429">
        <f t="shared" si="47"/>
        <v>973</v>
      </c>
      <c r="B976" s="387">
        <v>46114</v>
      </c>
      <c r="C976" s="388">
        <v>46082</v>
      </c>
      <c r="D976" s="392" t="s">
        <v>166</v>
      </c>
      <c r="E976" s="398" t="s">
        <v>1210</v>
      </c>
      <c r="F976" s="491">
        <v>573.35</v>
      </c>
      <c r="G976" s="397" t="s">
        <v>2292</v>
      </c>
      <c r="H976" s="389" t="s">
        <v>166</v>
      </c>
      <c r="I976" s="398" t="s">
        <v>1440</v>
      </c>
      <c r="J976" s="399" t="s">
        <v>1441</v>
      </c>
      <c r="K976" s="394" t="str">
        <f t="shared" si="46"/>
        <v>XXX85794725 XX</v>
      </c>
      <c r="L976" s="391"/>
      <c r="M976" s="398" t="s">
        <v>708</v>
      </c>
      <c r="N976" s="399">
        <v>536</v>
      </c>
      <c r="O976" s="399" t="s">
        <v>1521</v>
      </c>
      <c r="P976" s="398" t="s">
        <v>572</v>
      </c>
    </row>
    <row r="977" spans="1:16" s="401" customFormat="1" ht="36">
      <c r="A977" s="429">
        <f t="shared" si="47"/>
        <v>974</v>
      </c>
      <c r="B977" s="387">
        <v>46114</v>
      </c>
      <c r="C977" s="388">
        <v>46082</v>
      </c>
      <c r="D977" s="392" t="s">
        <v>166</v>
      </c>
      <c r="E977" s="398" t="s">
        <v>1210</v>
      </c>
      <c r="F977" s="491">
        <v>486.3</v>
      </c>
      <c r="G977" s="397" t="s">
        <v>2292</v>
      </c>
      <c r="H977" s="389" t="s">
        <v>166</v>
      </c>
      <c r="I977" s="398" t="s">
        <v>1435</v>
      </c>
      <c r="J977" s="399" t="s">
        <v>1436</v>
      </c>
      <c r="K977" s="394" t="str">
        <f t="shared" si="46"/>
        <v>XXX06833670 XX</v>
      </c>
      <c r="L977" s="391"/>
      <c r="M977" s="398" t="s">
        <v>708</v>
      </c>
      <c r="N977" s="399">
        <v>536</v>
      </c>
      <c r="O977" s="399" t="s">
        <v>1521</v>
      </c>
      <c r="P977" s="398" t="s">
        <v>572</v>
      </c>
    </row>
    <row r="978" spans="1:16" s="401" customFormat="1" ht="36">
      <c r="A978" s="429">
        <f t="shared" si="47"/>
        <v>975</v>
      </c>
      <c r="B978" s="387">
        <v>46114</v>
      </c>
      <c r="C978" s="388">
        <v>46082</v>
      </c>
      <c r="D978" s="392" t="s">
        <v>166</v>
      </c>
      <c r="E978" s="398" t="s">
        <v>1210</v>
      </c>
      <c r="F978" s="491">
        <v>1562.58</v>
      </c>
      <c r="G978" s="397" t="s">
        <v>2292</v>
      </c>
      <c r="H978" s="389" t="s">
        <v>166</v>
      </c>
      <c r="I978" s="398" t="s">
        <v>1444</v>
      </c>
      <c r="J978" s="399" t="s">
        <v>1445</v>
      </c>
      <c r="K978" s="394" t="str">
        <f t="shared" si="46"/>
        <v>XXX47236680 XX</v>
      </c>
      <c r="L978" s="391"/>
      <c r="M978" s="398" t="s">
        <v>708</v>
      </c>
      <c r="N978" s="399">
        <v>536</v>
      </c>
      <c r="O978" s="399" t="s">
        <v>1521</v>
      </c>
      <c r="P978" s="398" t="s">
        <v>572</v>
      </c>
    </row>
    <row r="979" spans="1:16" s="401" customFormat="1" ht="36">
      <c r="A979" s="429">
        <f t="shared" si="47"/>
        <v>976</v>
      </c>
      <c r="B979" s="387">
        <v>46114</v>
      </c>
      <c r="C979" s="388">
        <v>46082</v>
      </c>
      <c r="D979" s="392" t="s">
        <v>166</v>
      </c>
      <c r="E979" s="398" t="s">
        <v>1210</v>
      </c>
      <c r="F979" s="491">
        <v>1214.1199999999999</v>
      </c>
      <c r="G979" s="397" t="s">
        <v>2292</v>
      </c>
      <c r="H979" s="389" t="s">
        <v>166</v>
      </c>
      <c r="I979" s="398" t="s">
        <v>1448</v>
      </c>
      <c r="J979" s="399" t="s">
        <v>1449</v>
      </c>
      <c r="K979" s="394" t="str">
        <f t="shared" si="46"/>
        <v>XXX07044800 XX</v>
      </c>
      <c r="L979" s="391"/>
      <c r="M979" s="398" t="s">
        <v>708</v>
      </c>
      <c r="N979" s="399">
        <v>536</v>
      </c>
      <c r="O979" s="399" t="s">
        <v>1521</v>
      </c>
      <c r="P979" s="398" t="s">
        <v>572</v>
      </c>
    </row>
    <row r="980" spans="1:16" s="401" customFormat="1" ht="36">
      <c r="A980" s="429">
        <f t="shared" si="47"/>
        <v>977</v>
      </c>
      <c r="B980" s="387">
        <v>46114</v>
      </c>
      <c r="C980" s="388">
        <v>46082</v>
      </c>
      <c r="D980" s="392" t="s">
        <v>166</v>
      </c>
      <c r="E980" s="398" t="s">
        <v>1210</v>
      </c>
      <c r="F980" s="491">
        <v>1501.5</v>
      </c>
      <c r="G980" s="397" t="s">
        <v>2292</v>
      </c>
      <c r="H980" s="389" t="s">
        <v>166</v>
      </c>
      <c r="I980" s="398" t="s">
        <v>1439</v>
      </c>
      <c r="J980" s="399" t="s">
        <v>770</v>
      </c>
      <c r="K980" s="394" t="str">
        <f t="shared" si="46"/>
        <v>XXX00000000 XX</v>
      </c>
      <c r="L980" s="391"/>
      <c r="M980" s="398" t="s">
        <v>708</v>
      </c>
      <c r="N980" s="399">
        <v>536</v>
      </c>
      <c r="O980" s="399" t="s">
        <v>1521</v>
      </c>
      <c r="P980" s="398" t="s">
        <v>572</v>
      </c>
    </row>
    <row r="981" spans="1:16" s="401" customFormat="1" ht="36">
      <c r="A981" s="429">
        <f t="shared" si="47"/>
        <v>978</v>
      </c>
      <c r="B981" s="387">
        <v>46114</v>
      </c>
      <c r="C981" s="388">
        <v>46082</v>
      </c>
      <c r="D981" s="392" t="s">
        <v>166</v>
      </c>
      <c r="E981" s="398" t="s">
        <v>1210</v>
      </c>
      <c r="F981" s="491">
        <v>662.47</v>
      </c>
      <c r="G981" s="397" t="s">
        <v>2292</v>
      </c>
      <c r="H981" s="389" t="s">
        <v>166</v>
      </c>
      <c r="I981" s="398" t="s">
        <v>1442</v>
      </c>
      <c r="J981" s="399" t="s">
        <v>1443</v>
      </c>
      <c r="K981" s="394" t="str">
        <f t="shared" si="46"/>
        <v>XXX18926617 XX</v>
      </c>
      <c r="L981" s="391"/>
      <c r="M981" s="398" t="s">
        <v>708</v>
      </c>
      <c r="N981" s="399">
        <v>536</v>
      </c>
      <c r="O981" s="399" t="s">
        <v>1521</v>
      </c>
      <c r="P981" s="398" t="s">
        <v>572</v>
      </c>
    </row>
    <row r="982" spans="1:16" s="401" customFormat="1" ht="36">
      <c r="A982" s="429">
        <f t="shared" si="47"/>
        <v>979</v>
      </c>
      <c r="B982" s="387">
        <v>46114</v>
      </c>
      <c r="C982" s="388">
        <v>46082</v>
      </c>
      <c r="D982" s="392" t="s">
        <v>166</v>
      </c>
      <c r="E982" s="398" t="s">
        <v>1210</v>
      </c>
      <c r="F982" s="491">
        <v>2604.31</v>
      </c>
      <c r="G982" s="397" t="s">
        <v>2292</v>
      </c>
      <c r="H982" s="389" t="s">
        <v>166</v>
      </c>
      <c r="I982" s="398" t="s">
        <v>1437</v>
      </c>
      <c r="J982" s="399" t="s">
        <v>1438</v>
      </c>
      <c r="K982" s="394" t="str">
        <f t="shared" si="46"/>
        <v>XXX64835690 XX</v>
      </c>
      <c r="L982" s="391"/>
      <c r="M982" s="398" t="s">
        <v>708</v>
      </c>
      <c r="N982" s="399">
        <v>536</v>
      </c>
      <c r="O982" s="399" t="s">
        <v>1521</v>
      </c>
      <c r="P982" s="398" t="s">
        <v>572</v>
      </c>
    </row>
    <row r="983" spans="1:16" s="401" customFormat="1" ht="48">
      <c r="A983" s="429">
        <f t="shared" si="47"/>
        <v>980</v>
      </c>
      <c r="B983" s="387">
        <v>46114</v>
      </c>
      <c r="C983" s="388">
        <v>46082</v>
      </c>
      <c r="D983" s="392" t="s">
        <v>166</v>
      </c>
      <c r="E983" s="398" t="s">
        <v>1210</v>
      </c>
      <c r="F983" s="491">
        <v>3360</v>
      </c>
      <c r="G983" s="397" t="s">
        <v>2293</v>
      </c>
      <c r="H983" s="389" t="s">
        <v>166</v>
      </c>
      <c r="I983" s="398" t="s">
        <v>1056</v>
      </c>
      <c r="J983" s="399" t="s">
        <v>1057</v>
      </c>
      <c r="K983" s="394" t="str">
        <f t="shared" si="46"/>
        <v>XXX849360001XX</v>
      </c>
      <c r="L983" s="391"/>
      <c r="M983" s="398" t="s">
        <v>708</v>
      </c>
      <c r="N983" s="399">
        <v>196</v>
      </c>
      <c r="O983" s="399" t="s">
        <v>1521</v>
      </c>
      <c r="P983" s="398" t="s">
        <v>572</v>
      </c>
    </row>
    <row r="984" spans="1:16" s="401" customFormat="1" ht="36">
      <c r="A984" s="429">
        <f t="shared" si="47"/>
        <v>981</v>
      </c>
      <c r="B984" s="387">
        <v>46114</v>
      </c>
      <c r="C984" s="388">
        <v>46082</v>
      </c>
      <c r="D984" s="392" t="s">
        <v>166</v>
      </c>
      <c r="E984" s="398" t="s">
        <v>2255</v>
      </c>
      <c r="F984" s="491">
        <v>4969.75</v>
      </c>
      <c r="G984" s="397" t="s">
        <v>2294</v>
      </c>
      <c r="H984" s="389" t="s">
        <v>166</v>
      </c>
      <c r="I984" s="398" t="s">
        <v>2141</v>
      </c>
      <c r="J984" s="399" t="s">
        <v>2142</v>
      </c>
      <c r="K984" s="394" t="str">
        <f t="shared" si="46"/>
        <v>XXX483330001XX</v>
      </c>
      <c r="L984" s="391"/>
      <c r="M984" s="398" t="s">
        <v>708</v>
      </c>
      <c r="N984" s="399">
        <v>42026</v>
      </c>
      <c r="O984" s="399" t="s">
        <v>1521</v>
      </c>
      <c r="P984" s="398" t="s">
        <v>572</v>
      </c>
    </row>
    <row r="985" spans="1:16" s="401" customFormat="1" ht="36">
      <c r="A985" s="429">
        <f t="shared" si="47"/>
        <v>982</v>
      </c>
      <c r="B985" s="387">
        <v>46114</v>
      </c>
      <c r="C985" s="388">
        <v>46082</v>
      </c>
      <c r="D985" s="392" t="s">
        <v>166</v>
      </c>
      <c r="E985" s="398" t="s">
        <v>4</v>
      </c>
      <c r="F985" s="491">
        <v>7144.24</v>
      </c>
      <c r="G985" s="397" t="s">
        <v>2295</v>
      </c>
      <c r="H985" s="389" t="s">
        <v>166</v>
      </c>
      <c r="I985" s="398" t="s">
        <v>647</v>
      </c>
      <c r="J985" s="399" t="s">
        <v>648</v>
      </c>
      <c r="K985" s="394" t="str">
        <f t="shared" si="46"/>
        <v>XXX603050001XX</v>
      </c>
      <c r="L985" s="391"/>
      <c r="M985" s="398" t="s">
        <v>718</v>
      </c>
      <c r="N985" s="399">
        <v>1777</v>
      </c>
      <c r="O985" s="399" t="s">
        <v>1521</v>
      </c>
      <c r="P985" s="398" t="s">
        <v>572</v>
      </c>
    </row>
    <row r="986" spans="1:16" s="401" customFormat="1" ht="36">
      <c r="A986" s="429">
        <f t="shared" si="47"/>
        <v>983</v>
      </c>
      <c r="B986" s="387">
        <v>46114</v>
      </c>
      <c r="C986" s="388">
        <v>46082</v>
      </c>
      <c r="D986" s="392" t="s">
        <v>166</v>
      </c>
      <c r="E986" s="398" t="s">
        <v>4</v>
      </c>
      <c r="F986" s="491">
        <v>104757.08</v>
      </c>
      <c r="G986" s="397" t="s">
        <v>2296</v>
      </c>
      <c r="H986" s="389" t="s">
        <v>166</v>
      </c>
      <c r="I986" s="398" t="s">
        <v>647</v>
      </c>
      <c r="J986" s="399" t="s">
        <v>648</v>
      </c>
      <c r="K986" s="394" t="str">
        <f t="shared" si="46"/>
        <v>XXX603050001XX</v>
      </c>
      <c r="L986" s="391"/>
      <c r="M986" s="398" t="s">
        <v>718</v>
      </c>
      <c r="N986" s="399">
        <v>1777</v>
      </c>
      <c r="O986" s="399" t="s">
        <v>1521</v>
      </c>
      <c r="P986" s="398" t="s">
        <v>572</v>
      </c>
    </row>
    <row r="987" spans="1:16" s="401" customFormat="1" ht="36">
      <c r="A987" s="429">
        <f t="shared" si="47"/>
        <v>984</v>
      </c>
      <c r="B987" s="387">
        <v>46114</v>
      </c>
      <c r="C987" s="388">
        <v>46082</v>
      </c>
      <c r="D987" s="392" t="s">
        <v>248</v>
      </c>
      <c r="E987" s="482" t="s">
        <v>454</v>
      </c>
      <c r="F987" s="404">
        <v>1740</v>
      </c>
      <c r="G987" s="397" t="s">
        <v>2297</v>
      </c>
      <c r="H987" s="389" t="s">
        <v>1418</v>
      </c>
      <c r="I987" s="398" t="s">
        <v>1066</v>
      </c>
      <c r="J987" s="399" t="s">
        <v>1067</v>
      </c>
      <c r="K987" s="394" t="str">
        <f t="shared" si="46"/>
        <v>XXX45343606 XX</v>
      </c>
      <c r="L987" s="391"/>
      <c r="M987" s="398" t="s">
        <v>708</v>
      </c>
      <c r="N987" s="399">
        <v>75094</v>
      </c>
      <c r="O987" s="399" t="s">
        <v>1543</v>
      </c>
      <c r="P987" s="398" t="s">
        <v>574</v>
      </c>
    </row>
    <row r="988" spans="1:16" s="401" customFormat="1" ht="36">
      <c r="A988" s="429">
        <f t="shared" si="47"/>
        <v>985</v>
      </c>
      <c r="B988" s="387">
        <v>46114</v>
      </c>
      <c r="C988" s="388">
        <v>46082</v>
      </c>
      <c r="D988" s="392" t="s">
        <v>248</v>
      </c>
      <c r="E988" s="482" t="s">
        <v>454</v>
      </c>
      <c r="F988" s="404">
        <v>1300</v>
      </c>
      <c r="G988" s="397" t="s">
        <v>2298</v>
      </c>
      <c r="H988" s="389" t="s">
        <v>1418</v>
      </c>
      <c r="I988" s="398" t="s">
        <v>1068</v>
      </c>
      <c r="J988" s="399" t="s">
        <v>1069</v>
      </c>
      <c r="K988" s="394" t="str">
        <f t="shared" si="46"/>
        <v>XXX25250646 XX</v>
      </c>
      <c r="L988" s="391"/>
      <c r="M988" s="398" t="s">
        <v>708</v>
      </c>
      <c r="N988" s="399">
        <v>75095</v>
      </c>
      <c r="O988" s="399" t="s">
        <v>1543</v>
      </c>
      <c r="P988" s="398" t="s">
        <v>574</v>
      </c>
    </row>
    <row r="989" spans="1:16" s="401" customFormat="1" ht="36">
      <c r="A989" s="429">
        <f t="shared" si="47"/>
        <v>986</v>
      </c>
      <c r="B989" s="387">
        <v>46114</v>
      </c>
      <c r="C989" s="388">
        <v>46082</v>
      </c>
      <c r="D989" s="392" t="s">
        <v>248</v>
      </c>
      <c r="E989" s="482" t="s">
        <v>454</v>
      </c>
      <c r="F989" s="404">
        <v>1350</v>
      </c>
      <c r="G989" s="397" t="s">
        <v>2298</v>
      </c>
      <c r="H989" s="389" t="s">
        <v>1418</v>
      </c>
      <c r="I989" s="398" t="s">
        <v>1070</v>
      </c>
      <c r="J989" s="399" t="s">
        <v>1071</v>
      </c>
      <c r="K989" s="394" t="str">
        <f t="shared" si="46"/>
        <v>XXX97947651 XX</v>
      </c>
      <c r="L989" s="391"/>
      <c r="M989" s="398" t="s">
        <v>708</v>
      </c>
      <c r="N989" s="399">
        <v>75096</v>
      </c>
      <c r="O989" s="399" t="s">
        <v>1543</v>
      </c>
      <c r="P989" s="398" t="s">
        <v>574</v>
      </c>
    </row>
    <row r="990" spans="1:16" s="401" customFormat="1" ht="36">
      <c r="A990" s="429">
        <f t="shared" si="47"/>
        <v>987</v>
      </c>
      <c r="B990" s="387">
        <v>46114</v>
      </c>
      <c r="C990" s="388">
        <v>46082</v>
      </c>
      <c r="D990" s="392" t="s">
        <v>248</v>
      </c>
      <c r="E990" s="482" t="s">
        <v>454</v>
      </c>
      <c r="F990" s="404">
        <v>1560</v>
      </c>
      <c r="G990" s="397" t="s">
        <v>2298</v>
      </c>
      <c r="H990" s="389" t="s">
        <v>1418</v>
      </c>
      <c r="I990" s="398" t="s">
        <v>1072</v>
      </c>
      <c r="J990" s="399" t="s">
        <v>1073</v>
      </c>
      <c r="K990" s="394" t="str">
        <f t="shared" si="46"/>
        <v>XXX62994659 XX</v>
      </c>
      <c r="L990" s="391"/>
      <c r="M990" s="398" t="s">
        <v>708</v>
      </c>
      <c r="N990" s="399">
        <v>75097</v>
      </c>
      <c r="O990" s="399" t="s">
        <v>1543</v>
      </c>
      <c r="P990" s="398" t="s">
        <v>574</v>
      </c>
    </row>
    <row r="991" spans="1:16" s="401" customFormat="1" ht="36">
      <c r="A991" s="429">
        <f t="shared" si="47"/>
        <v>988</v>
      </c>
      <c r="B991" s="387">
        <v>46114</v>
      </c>
      <c r="C991" s="388">
        <v>46082</v>
      </c>
      <c r="D991" s="392" t="s">
        <v>248</v>
      </c>
      <c r="E991" s="482" t="s">
        <v>454</v>
      </c>
      <c r="F991" s="404">
        <v>1500</v>
      </c>
      <c r="G991" s="397" t="s">
        <v>2298</v>
      </c>
      <c r="H991" s="389" t="s">
        <v>1418</v>
      </c>
      <c r="I991" s="398" t="s">
        <v>1074</v>
      </c>
      <c r="J991" s="399" t="s">
        <v>1075</v>
      </c>
      <c r="K991" s="394" t="str">
        <f t="shared" si="46"/>
        <v>XXX63319604 XX</v>
      </c>
      <c r="L991" s="391"/>
      <c r="M991" s="398" t="s">
        <v>708</v>
      </c>
      <c r="N991" s="399">
        <v>75098</v>
      </c>
      <c r="O991" s="399" t="s">
        <v>1543</v>
      </c>
      <c r="P991" s="398" t="s">
        <v>574</v>
      </c>
    </row>
    <row r="992" spans="1:16" s="401" customFormat="1" ht="36">
      <c r="A992" s="429">
        <f t="shared" si="47"/>
        <v>989</v>
      </c>
      <c r="B992" s="387">
        <v>46114</v>
      </c>
      <c r="C992" s="388">
        <v>46082</v>
      </c>
      <c r="D992" s="392" t="s">
        <v>248</v>
      </c>
      <c r="E992" s="482" t="s">
        <v>454</v>
      </c>
      <c r="F992" s="404">
        <v>1680</v>
      </c>
      <c r="G992" s="397" t="s">
        <v>2298</v>
      </c>
      <c r="H992" s="389" t="s">
        <v>1418</v>
      </c>
      <c r="I992" s="398" t="s">
        <v>1076</v>
      </c>
      <c r="J992" s="399" t="s">
        <v>1077</v>
      </c>
      <c r="K992" s="394" t="str">
        <f t="shared" si="46"/>
        <v>XXX84604639 XX</v>
      </c>
      <c r="L992" s="391"/>
      <c r="M992" s="398" t="s">
        <v>708</v>
      </c>
      <c r="N992" s="399">
        <v>75099</v>
      </c>
      <c r="O992" s="399" t="s">
        <v>1543</v>
      </c>
      <c r="P992" s="398" t="s">
        <v>574</v>
      </c>
    </row>
    <row r="993" spans="1:16" s="401" customFormat="1" ht="36">
      <c r="A993" s="429">
        <f t="shared" si="47"/>
        <v>990</v>
      </c>
      <c r="B993" s="387">
        <v>46114</v>
      </c>
      <c r="C993" s="388">
        <v>46082</v>
      </c>
      <c r="D993" s="392" t="s">
        <v>248</v>
      </c>
      <c r="E993" s="482" t="s">
        <v>454</v>
      </c>
      <c r="F993" s="404">
        <v>1620</v>
      </c>
      <c r="G993" s="397" t="s">
        <v>2298</v>
      </c>
      <c r="H993" s="389" t="s">
        <v>1418</v>
      </c>
      <c r="I993" s="398" t="s">
        <v>1078</v>
      </c>
      <c r="J993" s="399" t="s">
        <v>1079</v>
      </c>
      <c r="K993" s="394" t="str">
        <f t="shared" si="46"/>
        <v>XXX28795216 XX</v>
      </c>
      <c r="L993" s="391"/>
      <c r="M993" s="398" t="s">
        <v>708</v>
      </c>
      <c r="N993" s="399">
        <v>75100</v>
      </c>
      <c r="O993" s="399" t="s">
        <v>1543</v>
      </c>
      <c r="P993" s="398" t="s">
        <v>574</v>
      </c>
    </row>
    <row r="994" spans="1:16" s="401" customFormat="1" ht="36">
      <c r="A994" s="429">
        <f t="shared" si="47"/>
        <v>991</v>
      </c>
      <c r="B994" s="387">
        <v>46114</v>
      </c>
      <c r="C994" s="388">
        <v>46082</v>
      </c>
      <c r="D994" s="392" t="s">
        <v>248</v>
      </c>
      <c r="E994" s="482" t="s">
        <v>454</v>
      </c>
      <c r="F994" s="404">
        <v>1350</v>
      </c>
      <c r="G994" s="397" t="s">
        <v>2298</v>
      </c>
      <c r="H994" s="389" t="s">
        <v>1418</v>
      </c>
      <c r="I994" s="398" t="s">
        <v>1080</v>
      </c>
      <c r="J994" s="399" t="s">
        <v>1081</v>
      </c>
      <c r="K994" s="394" t="str">
        <f t="shared" si="46"/>
        <v>XXX93363636 XX</v>
      </c>
      <c r="L994" s="391"/>
      <c r="M994" s="398" t="s">
        <v>708</v>
      </c>
      <c r="N994" s="399">
        <v>75101</v>
      </c>
      <c r="O994" s="399" t="s">
        <v>1543</v>
      </c>
      <c r="P994" s="398" t="s">
        <v>574</v>
      </c>
    </row>
    <row r="995" spans="1:16" s="401" customFormat="1" ht="36">
      <c r="A995" s="429">
        <f t="shared" si="47"/>
        <v>992</v>
      </c>
      <c r="B995" s="387">
        <v>46114</v>
      </c>
      <c r="C995" s="388">
        <v>46082</v>
      </c>
      <c r="D995" s="392" t="s">
        <v>248</v>
      </c>
      <c r="E995" s="482" t="s">
        <v>454</v>
      </c>
      <c r="F995" s="404">
        <v>1560</v>
      </c>
      <c r="G995" s="397" t="s">
        <v>2298</v>
      </c>
      <c r="H995" s="389" t="s">
        <v>1418</v>
      </c>
      <c r="I995" s="398" t="s">
        <v>1082</v>
      </c>
      <c r="J995" s="399" t="s">
        <v>1083</v>
      </c>
      <c r="K995" s="394" t="str">
        <f t="shared" si="46"/>
        <v>XXX42486208 XX</v>
      </c>
      <c r="L995" s="391"/>
      <c r="M995" s="398" t="s">
        <v>708</v>
      </c>
      <c r="N995" s="399">
        <v>75102</v>
      </c>
      <c r="O995" s="399" t="s">
        <v>1543</v>
      </c>
      <c r="P995" s="398" t="s">
        <v>574</v>
      </c>
    </row>
    <row r="996" spans="1:16" s="401" customFormat="1" ht="36">
      <c r="A996" s="429">
        <f t="shared" si="47"/>
        <v>993</v>
      </c>
      <c r="B996" s="387">
        <v>46114</v>
      </c>
      <c r="C996" s="388">
        <v>46082</v>
      </c>
      <c r="D996" s="392" t="s">
        <v>248</v>
      </c>
      <c r="E996" s="482" t="s">
        <v>454</v>
      </c>
      <c r="F996" s="404">
        <v>1400</v>
      </c>
      <c r="G996" s="397" t="s">
        <v>2298</v>
      </c>
      <c r="H996" s="389" t="s">
        <v>1418</v>
      </c>
      <c r="I996" s="398" t="s">
        <v>1084</v>
      </c>
      <c r="J996" s="399" t="s">
        <v>1085</v>
      </c>
      <c r="K996" s="394" t="str">
        <f t="shared" si="46"/>
        <v>XXX32776674 XX</v>
      </c>
      <c r="L996" s="391"/>
      <c r="M996" s="398" t="s">
        <v>708</v>
      </c>
      <c r="N996" s="399">
        <v>75103</v>
      </c>
      <c r="O996" s="399" t="s">
        <v>1543</v>
      </c>
      <c r="P996" s="398" t="s">
        <v>574</v>
      </c>
    </row>
    <row r="997" spans="1:16" s="401" customFormat="1" ht="36">
      <c r="A997" s="429">
        <f t="shared" si="47"/>
        <v>994</v>
      </c>
      <c r="B997" s="387">
        <v>46114</v>
      </c>
      <c r="C997" s="388">
        <v>46082</v>
      </c>
      <c r="D997" s="392" t="s">
        <v>248</v>
      </c>
      <c r="E997" s="482" t="s">
        <v>454</v>
      </c>
      <c r="F997" s="404">
        <v>1740</v>
      </c>
      <c r="G997" s="397" t="s">
        <v>2298</v>
      </c>
      <c r="H997" s="389" t="s">
        <v>1418</v>
      </c>
      <c r="I997" s="398" t="s">
        <v>1086</v>
      </c>
      <c r="J997" s="399" t="s">
        <v>1087</v>
      </c>
      <c r="K997" s="394" t="str">
        <f t="shared" si="46"/>
        <v>XXX41278661 XX</v>
      </c>
      <c r="L997" s="391"/>
      <c r="M997" s="398" t="s">
        <v>708</v>
      </c>
      <c r="N997" s="399">
        <v>75104</v>
      </c>
      <c r="O997" s="399" t="s">
        <v>1543</v>
      </c>
      <c r="P997" s="398" t="s">
        <v>574</v>
      </c>
    </row>
    <row r="998" spans="1:16" s="401" customFormat="1" ht="36">
      <c r="A998" s="429">
        <f t="shared" si="47"/>
        <v>995</v>
      </c>
      <c r="B998" s="387">
        <v>46114</v>
      </c>
      <c r="C998" s="388">
        <v>46082</v>
      </c>
      <c r="D998" s="392" t="s">
        <v>248</v>
      </c>
      <c r="E998" s="482" t="s">
        <v>454</v>
      </c>
      <c r="F998" s="404">
        <v>1400</v>
      </c>
      <c r="G998" s="397" t="s">
        <v>2298</v>
      </c>
      <c r="H998" s="389" t="s">
        <v>1418</v>
      </c>
      <c r="I998" s="398" t="s">
        <v>1088</v>
      </c>
      <c r="J998" s="399" t="s">
        <v>1089</v>
      </c>
      <c r="K998" s="394" t="str">
        <f t="shared" si="46"/>
        <v>XXX34290665 XX</v>
      </c>
      <c r="L998" s="391"/>
      <c r="M998" s="398" t="s">
        <v>708</v>
      </c>
      <c r="N998" s="399">
        <v>75105</v>
      </c>
      <c r="O998" s="399" t="s">
        <v>1543</v>
      </c>
      <c r="P998" s="398" t="s">
        <v>574</v>
      </c>
    </row>
    <row r="999" spans="1:16" s="401" customFormat="1" ht="36">
      <c r="A999" s="429">
        <f t="shared" si="47"/>
        <v>996</v>
      </c>
      <c r="B999" s="387">
        <v>46114</v>
      </c>
      <c r="C999" s="388">
        <v>46082</v>
      </c>
      <c r="D999" s="392" t="s">
        <v>248</v>
      </c>
      <c r="E999" s="482" t="s">
        <v>454</v>
      </c>
      <c r="F999" s="404">
        <v>1500</v>
      </c>
      <c r="G999" s="397" t="s">
        <v>2298</v>
      </c>
      <c r="H999" s="389" t="s">
        <v>1418</v>
      </c>
      <c r="I999" s="398" t="s">
        <v>1090</v>
      </c>
      <c r="J999" s="399" t="s">
        <v>1091</v>
      </c>
      <c r="K999" s="394" t="str">
        <f t="shared" ref="K999" si="48">IF(J999="","",IF(LEN(J999)&gt;14,IF(ISBLANK(J999),"",J999),REPLACE(REPLACE(J999,1,3,"XXX"),13,2,"XX")))</f>
        <v>XXX64962680 XX</v>
      </c>
      <c r="L999" s="391"/>
      <c r="M999" s="398" t="s">
        <v>708</v>
      </c>
      <c r="N999" s="399">
        <v>75106</v>
      </c>
      <c r="O999" s="399" t="s">
        <v>1543</v>
      </c>
      <c r="P999" s="398" t="s">
        <v>574</v>
      </c>
    </row>
    <row r="1000" spans="1:16" s="401" customFormat="1" ht="36">
      <c r="A1000" s="429">
        <f t="shared" si="47"/>
        <v>997</v>
      </c>
      <c r="B1000" s="387">
        <v>46114</v>
      </c>
      <c r="C1000" s="388">
        <v>46082</v>
      </c>
      <c r="D1000" s="392" t="s">
        <v>248</v>
      </c>
      <c r="E1000" s="482" t="s">
        <v>454</v>
      </c>
      <c r="F1000" s="404">
        <v>1800</v>
      </c>
      <c r="G1000" s="397" t="s">
        <v>2298</v>
      </c>
      <c r="H1000" s="389" t="s">
        <v>1418</v>
      </c>
      <c r="I1000" s="398" t="s">
        <v>1092</v>
      </c>
      <c r="J1000" s="399" t="s">
        <v>1093</v>
      </c>
      <c r="K1000" s="394" t="str">
        <f t="shared" si="46"/>
        <v>XXX75959766 XX</v>
      </c>
      <c r="L1000" s="391"/>
      <c r="M1000" s="398" t="s">
        <v>708</v>
      </c>
      <c r="N1000" s="399">
        <v>75107</v>
      </c>
      <c r="O1000" s="399" t="s">
        <v>1543</v>
      </c>
      <c r="P1000" s="398" t="s">
        <v>574</v>
      </c>
    </row>
    <row r="1001" spans="1:16" s="401" customFormat="1" ht="36">
      <c r="A1001" s="429">
        <f t="shared" si="47"/>
        <v>998</v>
      </c>
      <c r="B1001" s="387">
        <v>46114</v>
      </c>
      <c r="C1001" s="388">
        <v>46082</v>
      </c>
      <c r="D1001" s="392" t="s">
        <v>248</v>
      </c>
      <c r="E1001" s="482" t="s">
        <v>454</v>
      </c>
      <c r="F1001" s="404">
        <v>1800</v>
      </c>
      <c r="G1001" s="397" t="s">
        <v>2298</v>
      </c>
      <c r="H1001" s="389" t="s">
        <v>1418</v>
      </c>
      <c r="I1001" s="398" t="s">
        <v>1094</v>
      </c>
      <c r="J1001" s="399" t="s">
        <v>1095</v>
      </c>
      <c r="K1001" s="394" t="str">
        <f t="shared" si="46"/>
        <v>XXX79919790 XX</v>
      </c>
      <c r="L1001" s="391"/>
      <c r="M1001" s="398" t="s">
        <v>708</v>
      </c>
      <c r="N1001" s="399">
        <v>75108</v>
      </c>
      <c r="O1001" s="399" t="s">
        <v>1543</v>
      </c>
      <c r="P1001" s="398" t="s">
        <v>574</v>
      </c>
    </row>
    <row r="1002" spans="1:16" s="401" customFormat="1" ht="48">
      <c r="A1002" s="429">
        <f t="shared" si="47"/>
        <v>999</v>
      </c>
      <c r="B1002" s="387">
        <v>46114</v>
      </c>
      <c r="C1002" s="388">
        <v>46113</v>
      </c>
      <c r="D1002" s="392" t="s">
        <v>353</v>
      </c>
      <c r="E1002" s="480" t="s">
        <v>334</v>
      </c>
      <c r="F1002" s="404">
        <v>-2200</v>
      </c>
      <c r="G1002" s="397" t="s">
        <v>2299</v>
      </c>
      <c r="H1002" s="389" t="s">
        <v>280</v>
      </c>
      <c r="I1002" s="394" t="s">
        <v>744</v>
      </c>
      <c r="J1002" s="455">
        <v>7837375000150</v>
      </c>
      <c r="K1002" s="394" t="str">
        <f t="shared" ref="K1002:K1020" si="49">IF(J1002="","",IF(LEN(J1002)&gt;14,IF(ISBLANK(J1002),"",J1002),REPLACE(REPLACE(J1002,1,3,"XXX"),13,2,"XX")))</f>
        <v>XXX737500015XX</v>
      </c>
      <c r="L1002" s="391"/>
      <c r="M1002" s="398" t="s">
        <v>1207</v>
      </c>
      <c r="N1002" s="399">
        <v>42026</v>
      </c>
      <c r="O1002" s="399" t="s">
        <v>2089</v>
      </c>
      <c r="P1002" s="398" t="s">
        <v>868</v>
      </c>
    </row>
    <row r="1003" spans="1:16" s="401" customFormat="1" ht="48">
      <c r="A1003" s="429">
        <f t="shared" si="47"/>
        <v>1000</v>
      </c>
      <c r="B1003" s="387">
        <v>46114</v>
      </c>
      <c r="C1003" s="388">
        <v>46113</v>
      </c>
      <c r="D1003" s="392" t="s">
        <v>353</v>
      </c>
      <c r="E1003" s="480" t="s">
        <v>334</v>
      </c>
      <c r="F1003" s="404">
        <v>-300</v>
      </c>
      <c r="G1003" s="397" t="s">
        <v>2300</v>
      </c>
      <c r="H1003" s="389" t="s">
        <v>280</v>
      </c>
      <c r="I1003" s="394" t="s">
        <v>744</v>
      </c>
      <c r="J1003" s="455">
        <v>7837375000150</v>
      </c>
      <c r="K1003" s="394" t="str">
        <f t="shared" si="49"/>
        <v>XXX737500015XX</v>
      </c>
      <c r="L1003" s="391"/>
      <c r="M1003" s="398" t="s">
        <v>1207</v>
      </c>
      <c r="N1003" s="399">
        <v>42026</v>
      </c>
      <c r="O1003" s="399" t="s">
        <v>2089</v>
      </c>
      <c r="P1003" s="398" t="s">
        <v>868</v>
      </c>
    </row>
    <row r="1004" spans="1:16" s="401" customFormat="1" ht="48">
      <c r="A1004" s="429">
        <f t="shared" si="47"/>
        <v>1001</v>
      </c>
      <c r="B1004" s="387">
        <v>46114</v>
      </c>
      <c r="C1004" s="388">
        <v>46054</v>
      </c>
      <c r="D1004" s="392" t="s">
        <v>248</v>
      </c>
      <c r="E1004" s="481" t="s">
        <v>170</v>
      </c>
      <c r="F1004" s="404">
        <v>28.8</v>
      </c>
      <c r="G1004" s="397" t="s">
        <v>2301</v>
      </c>
      <c r="H1004" s="389" t="s">
        <v>1029</v>
      </c>
      <c r="I1004" s="398" t="s">
        <v>624</v>
      </c>
      <c r="J1004" s="399" t="s">
        <v>625</v>
      </c>
      <c r="K1004" s="394" t="str">
        <f t="shared" si="49"/>
        <v>XXX924510001XX</v>
      </c>
      <c r="L1004" s="391"/>
      <c r="M1004" s="398" t="s">
        <v>709</v>
      </c>
      <c r="N1004" s="399">
        <v>311061</v>
      </c>
      <c r="O1004" s="399" t="s">
        <v>1519</v>
      </c>
      <c r="P1004" s="398" t="s">
        <v>574</v>
      </c>
    </row>
    <row r="1005" spans="1:16" s="401" customFormat="1" ht="48">
      <c r="A1005" s="429">
        <f t="shared" si="47"/>
        <v>1002</v>
      </c>
      <c r="B1005" s="387">
        <v>46114</v>
      </c>
      <c r="C1005" s="388">
        <v>46054</v>
      </c>
      <c r="D1005" s="392" t="s">
        <v>248</v>
      </c>
      <c r="E1005" s="481" t="s">
        <v>170</v>
      </c>
      <c r="F1005" s="404">
        <v>822</v>
      </c>
      <c r="G1005" s="397" t="s">
        <v>2301</v>
      </c>
      <c r="H1005" s="389" t="s">
        <v>1029</v>
      </c>
      <c r="I1005" s="398" t="s">
        <v>2143</v>
      </c>
      <c r="J1005" s="399" t="s">
        <v>773</v>
      </c>
      <c r="K1005" s="394" t="str">
        <f t="shared" si="49"/>
        <v>XXX000000000XX</v>
      </c>
      <c r="L1005" s="391"/>
      <c r="M1005" s="398" t="s">
        <v>704</v>
      </c>
      <c r="N1005" s="399">
        <v>311061</v>
      </c>
      <c r="O1005" s="399" t="s">
        <v>1519</v>
      </c>
      <c r="P1005" s="398" t="s">
        <v>574</v>
      </c>
    </row>
    <row r="1006" spans="1:16" s="401" customFormat="1" ht="36">
      <c r="A1006" s="429">
        <f t="shared" si="47"/>
        <v>1003</v>
      </c>
      <c r="B1006" s="387">
        <v>46114</v>
      </c>
      <c r="C1006" s="388">
        <v>46082</v>
      </c>
      <c r="D1006" s="392" t="s">
        <v>248</v>
      </c>
      <c r="E1006" s="398" t="s">
        <v>590</v>
      </c>
      <c r="F1006" s="404">
        <v>203.95</v>
      </c>
      <c r="G1006" s="397" t="s">
        <v>1602</v>
      </c>
      <c r="H1006" s="389" t="s">
        <v>736</v>
      </c>
      <c r="I1006" s="398" t="s">
        <v>624</v>
      </c>
      <c r="J1006" s="399" t="s">
        <v>625</v>
      </c>
      <c r="K1006" s="394" t="str">
        <f t="shared" si="49"/>
        <v>XXX924510001XX</v>
      </c>
      <c r="L1006" s="391"/>
      <c r="M1006" s="398" t="s">
        <v>709</v>
      </c>
      <c r="N1006" s="399">
        <v>2652270</v>
      </c>
      <c r="O1006" s="399" t="s">
        <v>1522</v>
      </c>
      <c r="P1006" s="398" t="s">
        <v>574</v>
      </c>
    </row>
    <row r="1007" spans="1:16" s="401" customFormat="1" ht="36">
      <c r="A1007" s="429">
        <f t="shared" si="47"/>
        <v>1004</v>
      </c>
      <c r="B1007" s="387">
        <v>46114</v>
      </c>
      <c r="C1007" s="388">
        <v>46082</v>
      </c>
      <c r="D1007" s="392" t="s">
        <v>248</v>
      </c>
      <c r="E1007" s="398" t="s">
        <v>590</v>
      </c>
      <c r="F1007" s="404">
        <v>1323.56</v>
      </c>
      <c r="G1007" s="397" t="s">
        <v>1602</v>
      </c>
      <c r="H1007" s="389" t="s">
        <v>736</v>
      </c>
      <c r="I1007" s="398" t="s">
        <v>2144</v>
      </c>
      <c r="J1007" s="399" t="s">
        <v>773</v>
      </c>
      <c r="K1007" s="394" t="str">
        <f t="shared" si="49"/>
        <v>XXX000000000XX</v>
      </c>
      <c r="L1007" s="391"/>
      <c r="M1007" s="398" t="s">
        <v>913</v>
      </c>
      <c r="N1007" s="399">
        <v>2652270</v>
      </c>
      <c r="O1007" s="399" t="s">
        <v>1522</v>
      </c>
      <c r="P1007" s="398" t="s">
        <v>574</v>
      </c>
    </row>
    <row r="1008" spans="1:16" s="401" customFormat="1" ht="36">
      <c r="A1008" s="429">
        <f t="shared" si="47"/>
        <v>1005</v>
      </c>
      <c r="B1008" s="387">
        <v>46114</v>
      </c>
      <c r="C1008" s="388">
        <v>46082</v>
      </c>
      <c r="D1008" s="392" t="s">
        <v>248</v>
      </c>
      <c r="E1008" s="398" t="s">
        <v>590</v>
      </c>
      <c r="F1008" s="404">
        <v>100.45</v>
      </c>
      <c r="G1008" s="397" t="s">
        <v>1601</v>
      </c>
      <c r="H1008" s="389" t="s">
        <v>736</v>
      </c>
      <c r="I1008" s="398" t="s">
        <v>624</v>
      </c>
      <c r="J1008" s="399" t="s">
        <v>625</v>
      </c>
      <c r="K1008" s="394" t="str">
        <f t="shared" si="49"/>
        <v>XXX924510001XX</v>
      </c>
      <c r="L1008" s="391"/>
      <c r="M1008" s="398" t="s">
        <v>709</v>
      </c>
      <c r="N1008" s="399">
        <v>2652228</v>
      </c>
      <c r="O1008" s="399" t="s">
        <v>1522</v>
      </c>
      <c r="P1008" s="398" t="s">
        <v>574</v>
      </c>
    </row>
    <row r="1009" spans="1:16" s="401" customFormat="1" ht="36">
      <c r="A1009" s="429">
        <f t="shared" si="47"/>
        <v>1006</v>
      </c>
      <c r="B1009" s="387">
        <v>46114</v>
      </c>
      <c r="C1009" s="388">
        <v>46082</v>
      </c>
      <c r="D1009" s="392" t="s">
        <v>248</v>
      </c>
      <c r="E1009" s="398" t="s">
        <v>590</v>
      </c>
      <c r="F1009" s="404">
        <v>2870.57</v>
      </c>
      <c r="G1009" s="397" t="s">
        <v>1601</v>
      </c>
      <c r="H1009" s="389" t="s">
        <v>736</v>
      </c>
      <c r="I1009" s="398" t="s">
        <v>2144</v>
      </c>
      <c r="J1009" s="399" t="s">
        <v>773</v>
      </c>
      <c r="K1009" s="394" t="str">
        <f t="shared" si="49"/>
        <v>XXX000000000XX</v>
      </c>
      <c r="L1009" s="391"/>
      <c r="M1009" s="398" t="s">
        <v>913</v>
      </c>
      <c r="N1009" s="399">
        <v>2652228</v>
      </c>
      <c r="O1009" s="399" t="s">
        <v>1522</v>
      </c>
      <c r="P1009" s="398" t="s">
        <v>574</v>
      </c>
    </row>
    <row r="1010" spans="1:16" s="401" customFormat="1" ht="48">
      <c r="A1010" s="429">
        <f t="shared" si="47"/>
        <v>1007</v>
      </c>
      <c r="B1010" s="387">
        <v>46114</v>
      </c>
      <c r="C1010" s="388">
        <v>46082</v>
      </c>
      <c r="D1010" s="392" t="s">
        <v>248</v>
      </c>
      <c r="E1010" s="398" t="s">
        <v>590</v>
      </c>
      <c r="F1010" s="404">
        <v>175.93</v>
      </c>
      <c r="G1010" s="397" t="s">
        <v>1575</v>
      </c>
      <c r="H1010" s="389" t="s">
        <v>736</v>
      </c>
      <c r="I1010" s="398" t="s">
        <v>624</v>
      </c>
      <c r="J1010" s="399" t="s">
        <v>625</v>
      </c>
      <c r="K1010" s="394" t="str">
        <f t="shared" si="49"/>
        <v>XXX924510001XX</v>
      </c>
      <c r="L1010" s="391"/>
      <c r="M1010" s="398" t="s">
        <v>709</v>
      </c>
      <c r="N1010" s="399">
        <v>2652269</v>
      </c>
      <c r="O1010" s="399" t="s">
        <v>1522</v>
      </c>
      <c r="P1010" s="398" t="s">
        <v>574</v>
      </c>
    </row>
    <row r="1011" spans="1:16" s="401" customFormat="1" ht="48">
      <c r="A1011" s="429">
        <f t="shared" si="47"/>
        <v>1008</v>
      </c>
      <c r="B1011" s="387">
        <v>46114</v>
      </c>
      <c r="C1011" s="388">
        <v>46082</v>
      </c>
      <c r="D1011" s="392" t="s">
        <v>248</v>
      </c>
      <c r="E1011" s="398" t="s">
        <v>590</v>
      </c>
      <c r="F1011" s="404">
        <v>5027.08</v>
      </c>
      <c r="G1011" s="397" t="s">
        <v>1575</v>
      </c>
      <c r="H1011" s="389" t="s">
        <v>736</v>
      </c>
      <c r="I1011" s="398" t="s">
        <v>2144</v>
      </c>
      <c r="J1011" s="399" t="s">
        <v>773</v>
      </c>
      <c r="K1011" s="394" t="str">
        <f t="shared" si="49"/>
        <v>XXX000000000XX</v>
      </c>
      <c r="L1011" s="391"/>
      <c r="M1011" s="398" t="s">
        <v>913</v>
      </c>
      <c r="N1011" s="399">
        <v>2652269</v>
      </c>
      <c r="O1011" s="399" t="s">
        <v>1522</v>
      </c>
      <c r="P1011" s="398" t="s">
        <v>574</v>
      </c>
    </row>
    <row r="1012" spans="1:16" s="401" customFormat="1" ht="36">
      <c r="A1012" s="429">
        <f t="shared" si="47"/>
        <v>1009</v>
      </c>
      <c r="B1012" s="387">
        <v>46114</v>
      </c>
      <c r="C1012" s="388">
        <v>46082</v>
      </c>
      <c r="D1012" s="392" t="s">
        <v>248</v>
      </c>
      <c r="E1012" s="481" t="s">
        <v>170</v>
      </c>
      <c r="F1012" s="404">
        <v>90.91</v>
      </c>
      <c r="G1012" s="397" t="s">
        <v>2302</v>
      </c>
      <c r="H1012" s="392" t="s">
        <v>278</v>
      </c>
      <c r="I1012" s="398" t="s">
        <v>624</v>
      </c>
      <c r="J1012" s="399" t="s">
        <v>625</v>
      </c>
      <c r="K1012" s="394" t="str">
        <f t="shared" si="49"/>
        <v>XXX924510001XX</v>
      </c>
      <c r="L1012" s="391"/>
      <c r="M1012" s="398" t="s">
        <v>709</v>
      </c>
      <c r="N1012" s="399">
        <v>560997</v>
      </c>
      <c r="O1012" s="399" t="s">
        <v>1522</v>
      </c>
      <c r="P1012" s="398" t="s">
        <v>574</v>
      </c>
    </row>
    <row r="1013" spans="1:16" s="401" customFormat="1" ht="36">
      <c r="A1013" s="429">
        <f t="shared" si="47"/>
        <v>1010</v>
      </c>
      <c r="B1013" s="387">
        <v>46114</v>
      </c>
      <c r="C1013" s="388">
        <v>46082</v>
      </c>
      <c r="D1013" s="392" t="s">
        <v>248</v>
      </c>
      <c r="E1013" s="481" t="s">
        <v>170</v>
      </c>
      <c r="F1013" s="404">
        <v>2597.4</v>
      </c>
      <c r="G1013" s="397" t="s">
        <v>2302</v>
      </c>
      <c r="H1013" s="392" t="s">
        <v>278</v>
      </c>
      <c r="I1013" s="398" t="s">
        <v>2145</v>
      </c>
      <c r="J1013" s="399" t="s">
        <v>773</v>
      </c>
      <c r="K1013" s="394" t="str">
        <f t="shared" si="49"/>
        <v>XXX000000000XX</v>
      </c>
      <c r="L1013" s="391"/>
      <c r="M1013" s="398" t="s">
        <v>913</v>
      </c>
      <c r="N1013" s="399">
        <v>560997</v>
      </c>
      <c r="O1013" s="399" t="s">
        <v>1522</v>
      </c>
      <c r="P1013" s="398" t="s">
        <v>574</v>
      </c>
    </row>
    <row r="1014" spans="1:16" s="401" customFormat="1" ht="64.5" customHeight="1">
      <c r="A1014" s="429">
        <f t="shared" si="47"/>
        <v>1011</v>
      </c>
      <c r="B1014" s="387">
        <v>46114</v>
      </c>
      <c r="C1014" s="388">
        <v>46054</v>
      </c>
      <c r="D1014" s="392" t="s">
        <v>248</v>
      </c>
      <c r="E1014" s="398" t="s">
        <v>582</v>
      </c>
      <c r="F1014" s="404">
        <v>247.73</v>
      </c>
      <c r="G1014" s="397" t="s">
        <v>2303</v>
      </c>
      <c r="H1014" s="389" t="s">
        <v>737</v>
      </c>
      <c r="I1014" s="398" t="s">
        <v>614</v>
      </c>
      <c r="J1014" s="399" t="s">
        <v>615</v>
      </c>
      <c r="K1014" s="394" t="str">
        <f t="shared" si="49"/>
        <v>XXX470160001XX</v>
      </c>
      <c r="L1014" s="391"/>
      <c r="M1014" s="398" t="s">
        <v>913</v>
      </c>
      <c r="N1014" s="399">
        <v>55607</v>
      </c>
      <c r="O1014" s="399" t="s">
        <v>1523</v>
      </c>
      <c r="P1014" s="398" t="s">
        <v>574</v>
      </c>
    </row>
    <row r="1015" spans="1:16" s="401" customFormat="1" ht="49.5" customHeight="1">
      <c r="A1015" s="429">
        <f t="shared" si="47"/>
        <v>1012</v>
      </c>
      <c r="B1015" s="387">
        <v>46114</v>
      </c>
      <c r="C1015" s="388">
        <v>46113</v>
      </c>
      <c r="D1015" s="392" t="s">
        <v>248</v>
      </c>
      <c r="E1015" s="398" t="s">
        <v>590</v>
      </c>
      <c r="F1015" s="404">
        <v>2481</v>
      </c>
      <c r="G1015" s="397" t="s">
        <v>2304</v>
      </c>
      <c r="H1015" s="389" t="s">
        <v>736</v>
      </c>
      <c r="I1015" s="398" t="s">
        <v>2146</v>
      </c>
      <c r="J1015" s="399" t="s">
        <v>773</v>
      </c>
      <c r="K1015" s="394" t="str">
        <f t="shared" si="49"/>
        <v>XXX000000000XX</v>
      </c>
      <c r="L1015" s="391"/>
      <c r="M1015" s="398" t="s">
        <v>727</v>
      </c>
      <c r="N1015" s="399">
        <v>580924671</v>
      </c>
      <c r="O1015" s="399" t="s">
        <v>2090</v>
      </c>
      <c r="P1015" s="398" t="s">
        <v>574</v>
      </c>
    </row>
    <row r="1016" spans="1:16" s="401" customFormat="1" ht="36">
      <c r="A1016" s="429">
        <f t="shared" si="47"/>
        <v>1013</v>
      </c>
      <c r="B1016" s="387">
        <v>46114</v>
      </c>
      <c r="C1016" s="388">
        <v>46113</v>
      </c>
      <c r="D1016" s="392" t="s">
        <v>248</v>
      </c>
      <c r="E1016" s="398" t="s">
        <v>590</v>
      </c>
      <c r="F1016" s="404">
        <v>86.84</v>
      </c>
      <c r="G1016" s="397" t="s">
        <v>2304</v>
      </c>
      <c r="H1016" s="389" t="s">
        <v>736</v>
      </c>
      <c r="I1016" s="398" t="s">
        <v>690</v>
      </c>
      <c r="J1016" s="399" t="s">
        <v>691</v>
      </c>
      <c r="K1016" s="394" t="str">
        <f t="shared" si="49"/>
        <v>XXX011900001XX</v>
      </c>
      <c r="L1016" s="391"/>
      <c r="M1016" s="398" t="s">
        <v>1203</v>
      </c>
      <c r="N1016" s="399">
        <v>580924671</v>
      </c>
      <c r="O1016" s="399" t="s">
        <v>2090</v>
      </c>
      <c r="P1016" s="398" t="s">
        <v>574</v>
      </c>
    </row>
    <row r="1017" spans="1:16" s="401" customFormat="1" ht="48">
      <c r="A1017" s="429">
        <f t="shared" si="47"/>
        <v>1014</v>
      </c>
      <c r="B1017" s="387">
        <v>46114</v>
      </c>
      <c r="C1017" s="388">
        <v>46082</v>
      </c>
      <c r="D1017" s="392" t="s">
        <v>248</v>
      </c>
      <c r="E1017" s="482" t="s">
        <v>454</v>
      </c>
      <c r="F1017" s="404">
        <v>1620</v>
      </c>
      <c r="G1017" s="397" t="s">
        <v>2305</v>
      </c>
      <c r="H1017" s="389" t="s">
        <v>1418</v>
      </c>
      <c r="I1017" s="398" t="s">
        <v>2147</v>
      </c>
      <c r="J1017" s="399" t="s">
        <v>2148</v>
      </c>
      <c r="K1017" s="394" t="str">
        <f t="shared" si="49"/>
        <v>XXX91144647 XX</v>
      </c>
      <c r="L1017" s="391"/>
      <c r="M1017" s="398" t="s">
        <v>708</v>
      </c>
      <c r="N1017" s="399">
        <v>75301</v>
      </c>
      <c r="O1017" s="399" t="s">
        <v>1543</v>
      </c>
      <c r="P1017" s="398" t="s">
        <v>574</v>
      </c>
    </row>
    <row r="1018" spans="1:16" s="401" customFormat="1" ht="36">
      <c r="A1018" s="429">
        <f t="shared" si="47"/>
        <v>1015</v>
      </c>
      <c r="B1018" s="387">
        <v>46118</v>
      </c>
      <c r="C1018" s="388">
        <v>45931</v>
      </c>
      <c r="D1018" s="392" t="s">
        <v>353</v>
      </c>
      <c r="E1018" s="480" t="s">
        <v>153</v>
      </c>
      <c r="F1018" s="404">
        <v>120000</v>
      </c>
      <c r="G1018" s="397" t="s">
        <v>2514</v>
      </c>
      <c r="H1018" s="389" t="s">
        <v>280</v>
      </c>
      <c r="I1018" s="394" t="s">
        <v>744</v>
      </c>
      <c r="J1018" s="455">
        <v>7837375000150</v>
      </c>
      <c r="K1018" s="394" t="str">
        <f t="shared" si="49"/>
        <v>XXX737500015XX</v>
      </c>
      <c r="L1018" s="391"/>
      <c r="M1018" s="398" t="s">
        <v>706</v>
      </c>
      <c r="N1018" s="399">
        <v>202557</v>
      </c>
      <c r="O1018" s="402">
        <v>45968</v>
      </c>
      <c r="P1018" s="398" t="s">
        <v>574</v>
      </c>
    </row>
    <row r="1019" spans="1:16" s="401" customFormat="1" ht="36">
      <c r="A1019" s="429">
        <f t="shared" ref="A1019:A1044" si="50">IF(B1019="","",ROW()-ROW($A$3))</f>
        <v>1016</v>
      </c>
      <c r="B1019" s="387">
        <v>46118</v>
      </c>
      <c r="C1019" s="388">
        <v>46082</v>
      </c>
      <c r="D1019" s="392" t="s">
        <v>166</v>
      </c>
      <c r="E1019" s="398" t="s">
        <v>581</v>
      </c>
      <c r="F1019" s="404">
        <v>662.67</v>
      </c>
      <c r="G1019" s="397" t="s">
        <v>2306</v>
      </c>
      <c r="H1019" s="389" t="s">
        <v>166</v>
      </c>
      <c r="I1019" s="398" t="s">
        <v>611</v>
      </c>
      <c r="J1019" s="399" t="s">
        <v>612</v>
      </c>
      <c r="K1019" s="394" t="str">
        <f t="shared" si="49"/>
        <v>XXX312660001XX</v>
      </c>
      <c r="L1019" s="391"/>
      <c r="M1019" s="398" t="s">
        <v>704</v>
      </c>
      <c r="N1019" s="399">
        <v>11191</v>
      </c>
      <c r="O1019" s="399" t="s">
        <v>1540</v>
      </c>
      <c r="P1019" s="398" t="s">
        <v>574</v>
      </c>
    </row>
    <row r="1020" spans="1:16" s="401" customFormat="1" ht="36">
      <c r="A1020" s="429">
        <f t="shared" si="50"/>
        <v>1017</v>
      </c>
      <c r="B1020" s="387">
        <v>46118</v>
      </c>
      <c r="C1020" s="388">
        <v>46082</v>
      </c>
      <c r="D1020" s="392" t="s">
        <v>166</v>
      </c>
      <c r="E1020" s="398" t="s">
        <v>581</v>
      </c>
      <c r="F1020" s="404">
        <v>579.76</v>
      </c>
      <c r="G1020" s="397" t="s">
        <v>2307</v>
      </c>
      <c r="H1020" s="389" t="s">
        <v>166</v>
      </c>
      <c r="I1020" s="398" t="s">
        <v>1452</v>
      </c>
      <c r="J1020" s="399" t="s">
        <v>1453</v>
      </c>
      <c r="K1020" s="394" t="str">
        <f t="shared" si="49"/>
        <v>XXX533050001XX</v>
      </c>
      <c r="L1020" s="391"/>
      <c r="M1020" s="398" t="s">
        <v>704</v>
      </c>
      <c r="N1020" s="399">
        <v>4382</v>
      </c>
      <c r="O1020" s="399" t="s">
        <v>1540</v>
      </c>
      <c r="P1020" s="398" t="s">
        <v>574</v>
      </c>
    </row>
    <row r="1021" spans="1:16" s="401" customFormat="1" ht="24">
      <c r="A1021" s="429">
        <f t="shared" si="50"/>
        <v>1018</v>
      </c>
      <c r="B1021" s="387">
        <v>46118</v>
      </c>
      <c r="C1021" s="388">
        <v>46082</v>
      </c>
      <c r="D1021" s="392" t="s">
        <v>166</v>
      </c>
      <c r="E1021" s="480" t="s">
        <v>452</v>
      </c>
      <c r="F1021" s="491">
        <v>18698.64</v>
      </c>
      <c r="G1021" s="397" t="s">
        <v>2308</v>
      </c>
      <c r="H1021" s="389" t="s">
        <v>166</v>
      </c>
      <c r="I1021" s="398" t="s">
        <v>2149</v>
      </c>
      <c r="J1021" s="399" t="s">
        <v>2150</v>
      </c>
      <c r="K1021" s="394" t="str">
        <f t="shared" ref="K1021:K1069" si="51">IF(J1021="","",IF(LEN(J1021)&gt;14,IF(ISBLANK(J1021),"",J1021),REPLACE(REPLACE(J1021,1,3,"XXX"),13,2,"XX")))</f>
        <v>XXX09975621 XX</v>
      </c>
      <c r="L1021" s="403"/>
      <c r="M1021" s="398" t="s">
        <v>705</v>
      </c>
      <c r="N1021" s="399">
        <v>375</v>
      </c>
      <c r="O1021" s="399" t="s">
        <v>1521</v>
      </c>
      <c r="P1021" s="398" t="s">
        <v>573</v>
      </c>
    </row>
    <row r="1022" spans="1:16" s="401" customFormat="1" ht="48">
      <c r="A1022" s="429">
        <f t="shared" si="50"/>
        <v>1019</v>
      </c>
      <c r="B1022" s="387">
        <v>46118</v>
      </c>
      <c r="C1022" s="388">
        <v>46113</v>
      </c>
      <c r="D1022" s="392" t="s">
        <v>248</v>
      </c>
      <c r="E1022" s="482" t="s">
        <v>0</v>
      </c>
      <c r="F1022" s="404">
        <v>698</v>
      </c>
      <c r="G1022" s="397" t="s">
        <v>2309</v>
      </c>
      <c r="H1022" s="389" t="s">
        <v>278</v>
      </c>
      <c r="I1022" s="398" t="s">
        <v>1472</v>
      </c>
      <c r="J1022" s="399" t="s">
        <v>1473</v>
      </c>
      <c r="K1022" s="394" t="str">
        <f t="shared" si="51"/>
        <v>XXX735210001XX</v>
      </c>
      <c r="L1022" s="391"/>
      <c r="M1022" s="398" t="s">
        <v>706</v>
      </c>
      <c r="N1022" s="399">
        <v>177675</v>
      </c>
      <c r="O1022" s="399" t="s">
        <v>2091</v>
      </c>
      <c r="P1022" s="398" t="s">
        <v>574</v>
      </c>
    </row>
    <row r="1023" spans="1:16" s="401" customFormat="1" ht="36">
      <c r="A1023" s="429">
        <f t="shared" si="50"/>
        <v>1020</v>
      </c>
      <c r="B1023" s="387">
        <v>46118</v>
      </c>
      <c r="C1023" s="388">
        <v>46113</v>
      </c>
      <c r="D1023" s="392" t="s">
        <v>166</v>
      </c>
      <c r="E1023" s="398" t="s">
        <v>586</v>
      </c>
      <c r="F1023" s="491">
        <v>760</v>
      </c>
      <c r="G1023" s="397" t="s">
        <v>2310</v>
      </c>
      <c r="H1023" s="389" t="s">
        <v>166</v>
      </c>
      <c r="I1023" s="398" t="s">
        <v>620</v>
      </c>
      <c r="J1023" s="399" t="s">
        <v>621</v>
      </c>
      <c r="K1023" s="394" t="str">
        <f t="shared" si="51"/>
        <v>XXX408760001XX</v>
      </c>
      <c r="L1023" s="403"/>
      <c r="M1023" s="398" t="s">
        <v>706</v>
      </c>
      <c r="N1023" s="399">
        <v>2057887426</v>
      </c>
      <c r="O1023" s="399" t="s">
        <v>2091</v>
      </c>
      <c r="P1023" s="398" t="s">
        <v>572</v>
      </c>
    </row>
    <row r="1024" spans="1:16" s="401" customFormat="1" ht="36">
      <c r="A1024" s="429">
        <f t="shared" si="50"/>
        <v>1021</v>
      </c>
      <c r="B1024" s="387">
        <v>46118</v>
      </c>
      <c r="C1024" s="388">
        <v>46113</v>
      </c>
      <c r="D1024" s="392" t="s">
        <v>248</v>
      </c>
      <c r="E1024" s="482" t="s">
        <v>87</v>
      </c>
      <c r="F1024" s="404">
        <v>2005.88</v>
      </c>
      <c r="G1024" s="397" t="s">
        <v>2311</v>
      </c>
      <c r="H1024" s="389" t="s">
        <v>278</v>
      </c>
      <c r="I1024" s="398" t="s">
        <v>2151</v>
      </c>
      <c r="J1024" s="399" t="s">
        <v>773</v>
      </c>
      <c r="K1024" s="394" t="str">
        <f t="shared" si="51"/>
        <v>XXX000000000XX</v>
      </c>
      <c r="L1024" s="403"/>
      <c r="M1024" s="398" t="s">
        <v>727</v>
      </c>
      <c r="N1024" s="399">
        <v>582719842</v>
      </c>
      <c r="O1024" s="399" t="s">
        <v>2091</v>
      </c>
      <c r="P1024" s="398" t="s">
        <v>574</v>
      </c>
    </row>
    <row r="1025" spans="1:16" s="401" customFormat="1" ht="36">
      <c r="A1025" s="429">
        <f t="shared" si="50"/>
        <v>1022</v>
      </c>
      <c r="B1025" s="387">
        <v>46118</v>
      </c>
      <c r="C1025" s="388">
        <v>46113</v>
      </c>
      <c r="D1025" s="392" t="s">
        <v>248</v>
      </c>
      <c r="E1025" s="482" t="s">
        <v>87</v>
      </c>
      <c r="F1025" s="404">
        <v>70.209999999999994</v>
      </c>
      <c r="G1025" s="397" t="s">
        <v>2311</v>
      </c>
      <c r="H1025" s="389" t="s">
        <v>278</v>
      </c>
      <c r="I1025" s="398" t="s">
        <v>690</v>
      </c>
      <c r="J1025" s="399" t="s">
        <v>691</v>
      </c>
      <c r="K1025" s="394" t="str">
        <f t="shared" si="51"/>
        <v>XXX011900001XX</v>
      </c>
      <c r="L1025" s="391"/>
      <c r="M1025" s="398" t="s">
        <v>2256</v>
      </c>
      <c r="N1025" s="399">
        <v>582719842</v>
      </c>
      <c r="O1025" s="399" t="s">
        <v>2091</v>
      </c>
      <c r="P1025" s="398" t="s">
        <v>574</v>
      </c>
    </row>
    <row r="1026" spans="1:16" s="401" customFormat="1" ht="48">
      <c r="A1026" s="429">
        <f t="shared" si="50"/>
        <v>1023</v>
      </c>
      <c r="B1026" s="387">
        <v>46118</v>
      </c>
      <c r="C1026" s="388">
        <v>46113</v>
      </c>
      <c r="D1026" s="392" t="s">
        <v>248</v>
      </c>
      <c r="E1026" s="398" t="s">
        <v>590</v>
      </c>
      <c r="F1026" s="404">
        <v>437.82</v>
      </c>
      <c r="G1026" s="397" t="s">
        <v>3128</v>
      </c>
      <c r="H1026" s="389" t="s">
        <v>736</v>
      </c>
      <c r="I1026" s="398" t="s">
        <v>668</v>
      </c>
      <c r="J1026" s="399" t="s">
        <v>669</v>
      </c>
      <c r="K1026" s="394" t="str">
        <f t="shared" si="51"/>
        <v>XXX077460001XX</v>
      </c>
      <c r="L1026" s="391"/>
      <c r="M1026" s="398" t="s">
        <v>1204</v>
      </c>
      <c r="N1026" s="399">
        <v>580924671</v>
      </c>
      <c r="O1026" s="399" t="s">
        <v>2090</v>
      </c>
      <c r="P1026" s="398" t="s">
        <v>574</v>
      </c>
    </row>
    <row r="1027" spans="1:16" s="401" customFormat="1" ht="36">
      <c r="A1027" s="429">
        <f t="shared" si="50"/>
        <v>1024</v>
      </c>
      <c r="B1027" s="387">
        <v>46118</v>
      </c>
      <c r="C1027" s="388">
        <v>46113</v>
      </c>
      <c r="D1027" s="392" t="s">
        <v>248</v>
      </c>
      <c r="E1027" s="481" t="s">
        <v>169</v>
      </c>
      <c r="F1027" s="404">
        <v>56.16</v>
      </c>
      <c r="G1027" s="397" t="s">
        <v>2312</v>
      </c>
      <c r="H1027" s="389" t="s">
        <v>736</v>
      </c>
      <c r="I1027" s="398" t="s">
        <v>635</v>
      </c>
      <c r="J1027" s="399" t="s">
        <v>636</v>
      </c>
      <c r="K1027" s="394" t="str">
        <f t="shared" si="51"/>
        <v>XXX153830001XX</v>
      </c>
      <c r="L1027" s="403"/>
      <c r="M1027" s="398" t="s">
        <v>712</v>
      </c>
      <c r="N1027" s="399">
        <v>582703703</v>
      </c>
      <c r="O1027" s="399" t="s">
        <v>2091</v>
      </c>
      <c r="P1027" s="398" t="s">
        <v>574</v>
      </c>
    </row>
    <row r="1028" spans="1:16" s="401" customFormat="1" ht="48">
      <c r="A1028" s="429">
        <f t="shared" si="50"/>
        <v>1025</v>
      </c>
      <c r="B1028" s="387">
        <v>46118</v>
      </c>
      <c r="C1028" s="388">
        <v>46113</v>
      </c>
      <c r="D1028" s="392" t="s">
        <v>248</v>
      </c>
      <c r="E1028" s="481" t="s">
        <v>169</v>
      </c>
      <c r="F1028" s="404">
        <v>161.49</v>
      </c>
      <c r="G1028" s="397" t="s">
        <v>3104</v>
      </c>
      <c r="H1028" s="389" t="s">
        <v>736</v>
      </c>
      <c r="I1028" s="398" t="s">
        <v>668</v>
      </c>
      <c r="J1028" s="399" t="s">
        <v>669</v>
      </c>
      <c r="K1028" s="394" t="str">
        <f t="shared" si="51"/>
        <v>XXX077460001XX</v>
      </c>
      <c r="L1028" s="391"/>
      <c r="M1028" s="398" t="s">
        <v>721</v>
      </c>
      <c r="N1028" s="399">
        <v>582703703</v>
      </c>
      <c r="O1028" s="399" t="s">
        <v>2091</v>
      </c>
      <c r="P1028" s="398" t="s">
        <v>574</v>
      </c>
    </row>
    <row r="1029" spans="1:16" s="401" customFormat="1" ht="48">
      <c r="A1029" s="429">
        <f t="shared" si="50"/>
        <v>1026</v>
      </c>
      <c r="B1029" s="387">
        <v>46118</v>
      </c>
      <c r="C1029" s="388">
        <v>46113</v>
      </c>
      <c r="D1029" s="392" t="s">
        <v>248</v>
      </c>
      <c r="E1029" s="481" t="s">
        <v>169</v>
      </c>
      <c r="F1029" s="404">
        <v>35.06</v>
      </c>
      <c r="G1029" s="397" t="s">
        <v>3104</v>
      </c>
      <c r="H1029" s="389" t="s">
        <v>736</v>
      </c>
      <c r="I1029" s="398" t="s">
        <v>668</v>
      </c>
      <c r="J1029" s="399" t="s">
        <v>669</v>
      </c>
      <c r="K1029" s="394" t="str">
        <f t="shared" si="51"/>
        <v>XXX077460001XX</v>
      </c>
      <c r="L1029" s="391"/>
      <c r="M1029" s="398" t="s">
        <v>721</v>
      </c>
      <c r="N1029" s="399">
        <v>582703703</v>
      </c>
      <c r="O1029" s="399" t="s">
        <v>2091</v>
      </c>
      <c r="P1029" s="398" t="s">
        <v>574</v>
      </c>
    </row>
    <row r="1030" spans="1:16" s="401" customFormat="1" ht="36">
      <c r="A1030" s="429">
        <f t="shared" si="50"/>
        <v>1027</v>
      </c>
      <c r="B1030" s="387">
        <v>46118</v>
      </c>
      <c r="C1030" s="388">
        <v>46113</v>
      </c>
      <c r="D1030" s="392" t="s">
        <v>248</v>
      </c>
      <c r="E1030" s="481" t="s">
        <v>169</v>
      </c>
      <c r="F1030" s="404">
        <v>1872.15</v>
      </c>
      <c r="G1030" s="397" t="s">
        <v>2312</v>
      </c>
      <c r="H1030" s="389" t="s">
        <v>736</v>
      </c>
      <c r="I1030" s="398" t="s">
        <v>2151</v>
      </c>
      <c r="J1030" s="399" t="s">
        <v>773</v>
      </c>
      <c r="K1030" s="394" t="str">
        <f t="shared" si="51"/>
        <v>XXX000000000XX</v>
      </c>
      <c r="L1030" s="391"/>
      <c r="M1030" s="398" t="s">
        <v>727</v>
      </c>
      <c r="N1030" s="399">
        <v>582703703</v>
      </c>
      <c r="O1030" s="399" t="s">
        <v>2091</v>
      </c>
      <c r="P1030" s="398" t="s">
        <v>574</v>
      </c>
    </row>
    <row r="1031" spans="1:16" s="401" customFormat="1" ht="36">
      <c r="A1031" s="429">
        <f t="shared" si="50"/>
        <v>1028</v>
      </c>
      <c r="B1031" s="387">
        <v>46118</v>
      </c>
      <c r="C1031" s="388">
        <v>46113</v>
      </c>
      <c r="D1031" s="392" t="s">
        <v>248</v>
      </c>
      <c r="E1031" s="481" t="s">
        <v>169</v>
      </c>
      <c r="F1031" s="404">
        <v>65.53</v>
      </c>
      <c r="G1031" s="397" t="s">
        <v>2312</v>
      </c>
      <c r="H1031" s="389" t="s">
        <v>736</v>
      </c>
      <c r="I1031" s="398" t="s">
        <v>690</v>
      </c>
      <c r="J1031" s="399" t="s">
        <v>691</v>
      </c>
      <c r="K1031" s="394" t="str">
        <f t="shared" si="51"/>
        <v>XXX011900001XX</v>
      </c>
      <c r="L1031" s="391"/>
      <c r="M1031" s="398" t="s">
        <v>2256</v>
      </c>
      <c r="N1031" s="399">
        <v>582703703</v>
      </c>
      <c r="O1031" s="399" t="s">
        <v>2091</v>
      </c>
      <c r="P1031" s="398" t="s">
        <v>574</v>
      </c>
    </row>
    <row r="1032" spans="1:16" s="401" customFormat="1" ht="36">
      <c r="A1032" s="429">
        <f t="shared" si="50"/>
        <v>1029</v>
      </c>
      <c r="B1032" s="387">
        <v>46118</v>
      </c>
      <c r="C1032" s="388">
        <v>46113</v>
      </c>
      <c r="D1032" s="392" t="s">
        <v>353</v>
      </c>
      <c r="E1032" s="480" t="s">
        <v>334</v>
      </c>
      <c r="F1032" s="404">
        <v>-600</v>
      </c>
      <c r="G1032" s="397" t="s">
        <v>2313</v>
      </c>
      <c r="H1032" s="389" t="s">
        <v>280</v>
      </c>
      <c r="I1032" s="394" t="s">
        <v>744</v>
      </c>
      <c r="J1032" s="455">
        <v>7837375000150</v>
      </c>
      <c r="K1032" s="394" t="str">
        <f t="shared" si="51"/>
        <v>XXX737500015XX</v>
      </c>
      <c r="L1032" s="391"/>
      <c r="M1032" s="398" t="s">
        <v>1207</v>
      </c>
      <c r="N1032" s="399">
        <v>42026</v>
      </c>
      <c r="O1032" s="399" t="s">
        <v>2089</v>
      </c>
      <c r="P1032" s="398" t="s">
        <v>576</v>
      </c>
    </row>
    <row r="1033" spans="1:16" s="401" customFormat="1" ht="36">
      <c r="A1033" s="429">
        <f t="shared" si="50"/>
        <v>1030</v>
      </c>
      <c r="B1033" s="387">
        <v>46118</v>
      </c>
      <c r="C1033" s="388">
        <v>46113</v>
      </c>
      <c r="D1033" s="392" t="s">
        <v>353</v>
      </c>
      <c r="E1033" s="480" t="s">
        <v>334</v>
      </c>
      <c r="F1033" s="404">
        <v>-2194.04</v>
      </c>
      <c r="G1033" s="397" t="s">
        <v>2314</v>
      </c>
      <c r="H1033" s="389" t="s">
        <v>280</v>
      </c>
      <c r="I1033" s="394" t="s">
        <v>744</v>
      </c>
      <c r="J1033" s="455">
        <v>7837375000150</v>
      </c>
      <c r="K1033" s="394" t="str">
        <f t="shared" si="51"/>
        <v>XXX737500015XX</v>
      </c>
      <c r="L1033" s="391"/>
      <c r="M1033" s="398" t="s">
        <v>2257</v>
      </c>
      <c r="N1033" s="399">
        <v>42026</v>
      </c>
      <c r="O1033" s="399" t="s">
        <v>2089</v>
      </c>
      <c r="P1033" s="398" t="s">
        <v>576</v>
      </c>
    </row>
    <row r="1034" spans="1:16" s="401" customFormat="1" ht="36">
      <c r="A1034" s="429">
        <f t="shared" si="50"/>
        <v>1031</v>
      </c>
      <c r="B1034" s="387">
        <v>46119</v>
      </c>
      <c r="C1034" s="388">
        <v>46113</v>
      </c>
      <c r="D1034" s="392" t="s">
        <v>338</v>
      </c>
      <c r="E1034" s="398" t="s">
        <v>338</v>
      </c>
      <c r="F1034" s="491">
        <v>1842751</v>
      </c>
      <c r="G1034" s="397" t="s">
        <v>2315</v>
      </c>
      <c r="H1034" s="389" t="s">
        <v>280</v>
      </c>
      <c r="I1034" s="394" t="s">
        <v>744</v>
      </c>
      <c r="J1034" s="455">
        <v>7837375000150</v>
      </c>
      <c r="K1034" s="394" t="str">
        <f t="shared" si="51"/>
        <v>XXX737500015XX</v>
      </c>
      <c r="L1034" s="391"/>
      <c r="M1034" s="398" t="s">
        <v>707</v>
      </c>
      <c r="N1034" s="399">
        <v>42026</v>
      </c>
      <c r="O1034" s="399" t="s">
        <v>2089</v>
      </c>
      <c r="P1034" s="398" t="s">
        <v>572</v>
      </c>
    </row>
    <row r="1035" spans="1:16" s="401" customFormat="1" ht="36">
      <c r="A1035" s="429">
        <f t="shared" si="50"/>
        <v>1032</v>
      </c>
      <c r="B1035" s="387">
        <v>46119</v>
      </c>
      <c r="C1035" s="388">
        <v>46082</v>
      </c>
      <c r="D1035" s="392" t="s">
        <v>248</v>
      </c>
      <c r="E1035" s="398" t="s">
        <v>593</v>
      </c>
      <c r="F1035" s="404">
        <v>540</v>
      </c>
      <c r="G1035" s="397" t="s">
        <v>2989</v>
      </c>
      <c r="H1035" s="389" t="s">
        <v>736</v>
      </c>
      <c r="I1035" s="398" t="s">
        <v>635</v>
      </c>
      <c r="J1035" s="399" t="s">
        <v>636</v>
      </c>
      <c r="K1035" s="394" t="str">
        <f t="shared" si="51"/>
        <v>XXX153830001XX</v>
      </c>
      <c r="L1035" s="391"/>
      <c r="M1035" s="398" t="s">
        <v>712</v>
      </c>
      <c r="N1035" s="399">
        <v>110</v>
      </c>
      <c r="O1035" s="399" t="s">
        <v>1520</v>
      </c>
      <c r="P1035" s="398" t="s">
        <v>574</v>
      </c>
    </row>
    <row r="1036" spans="1:16" s="401" customFormat="1" ht="48">
      <c r="A1036" s="429">
        <f t="shared" si="50"/>
        <v>1033</v>
      </c>
      <c r="B1036" s="387">
        <v>46119</v>
      </c>
      <c r="C1036" s="388">
        <v>46082</v>
      </c>
      <c r="D1036" s="392" t="s">
        <v>248</v>
      </c>
      <c r="E1036" s="398" t="s">
        <v>593</v>
      </c>
      <c r="F1036" s="404">
        <v>3275.06</v>
      </c>
      <c r="G1036" s="397" t="s">
        <v>2990</v>
      </c>
      <c r="H1036" s="389" t="s">
        <v>736</v>
      </c>
      <c r="I1036" s="398" t="s">
        <v>635</v>
      </c>
      <c r="J1036" s="399" t="s">
        <v>636</v>
      </c>
      <c r="K1036" s="394" t="str">
        <f t="shared" si="51"/>
        <v>XXX153830001XX</v>
      </c>
      <c r="L1036" s="391"/>
      <c r="M1036" s="398" t="s">
        <v>712</v>
      </c>
      <c r="N1036" s="399">
        <v>2</v>
      </c>
      <c r="O1036" s="399" t="s">
        <v>1520</v>
      </c>
      <c r="P1036" s="398" t="s">
        <v>574</v>
      </c>
    </row>
    <row r="1037" spans="1:16" s="401" customFormat="1" ht="36">
      <c r="A1037" s="429">
        <f t="shared" si="50"/>
        <v>1034</v>
      </c>
      <c r="B1037" s="387">
        <v>46119</v>
      </c>
      <c r="C1037" s="388">
        <v>46082</v>
      </c>
      <c r="D1037" s="392" t="s">
        <v>248</v>
      </c>
      <c r="E1037" s="481" t="s">
        <v>170</v>
      </c>
      <c r="F1037" s="404">
        <v>15.38</v>
      </c>
      <c r="G1037" s="397" t="s">
        <v>2991</v>
      </c>
      <c r="H1037" s="392" t="s">
        <v>278</v>
      </c>
      <c r="I1037" s="398" t="s">
        <v>635</v>
      </c>
      <c r="J1037" s="399" t="s">
        <v>636</v>
      </c>
      <c r="K1037" s="394" t="str">
        <f t="shared" si="51"/>
        <v>XXX153830001XX</v>
      </c>
      <c r="L1037" s="391"/>
      <c r="M1037" s="398" t="s">
        <v>712</v>
      </c>
      <c r="N1037" s="399">
        <v>836</v>
      </c>
      <c r="O1037" s="399" t="s">
        <v>1529</v>
      </c>
      <c r="P1037" s="398" t="s">
        <v>574</v>
      </c>
    </row>
    <row r="1038" spans="1:16" s="401" customFormat="1" ht="87.75" customHeight="1">
      <c r="A1038" s="429">
        <f t="shared" si="50"/>
        <v>1035</v>
      </c>
      <c r="B1038" s="387">
        <v>46120</v>
      </c>
      <c r="C1038" s="388">
        <v>46082</v>
      </c>
      <c r="D1038" s="392" t="s">
        <v>248</v>
      </c>
      <c r="E1038" s="398" t="s">
        <v>596</v>
      </c>
      <c r="F1038" s="404">
        <v>399.87</v>
      </c>
      <c r="G1038" s="397" t="s">
        <v>2992</v>
      </c>
      <c r="H1038" s="389" t="s">
        <v>737</v>
      </c>
      <c r="I1038" s="398" t="s">
        <v>635</v>
      </c>
      <c r="J1038" s="399" t="s">
        <v>636</v>
      </c>
      <c r="K1038" s="394" t="str">
        <f t="shared" si="51"/>
        <v>XXX153830001XX</v>
      </c>
      <c r="L1038" s="391"/>
      <c r="M1038" s="398" t="s">
        <v>712</v>
      </c>
      <c r="N1038" s="399">
        <v>14</v>
      </c>
      <c r="O1038" s="399" t="s">
        <v>1529</v>
      </c>
      <c r="P1038" s="398" t="s">
        <v>868</v>
      </c>
    </row>
    <row r="1039" spans="1:16" s="401" customFormat="1" ht="48">
      <c r="A1039" s="429">
        <f t="shared" si="50"/>
        <v>1036</v>
      </c>
      <c r="B1039" s="387">
        <v>46120</v>
      </c>
      <c r="C1039" s="388">
        <v>46082</v>
      </c>
      <c r="D1039" s="392" t="s">
        <v>248</v>
      </c>
      <c r="E1039" s="60" t="s">
        <v>494</v>
      </c>
      <c r="F1039" s="404">
        <v>154.21</v>
      </c>
      <c r="G1039" s="397" t="s">
        <v>2993</v>
      </c>
      <c r="H1039" s="389" t="s">
        <v>736</v>
      </c>
      <c r="I1039" s="398" t="s">
        <v>635</v>
      </c>
      <c r="J1039" s="399" t="s">
        <v>636</v>
      </c>
      <c r="K1039" s="394" t="str">
        <f t="shared" si="51"/>
        <v>XXX153830001XX</v>
      </c>
      <c r="L1039" s="391"/>
      <c r="M1039" s="398" t="s">
        <v>712</v>
      </c>
      <c r="N1039" s="399">
        <v>11</v>
      </c>
      <c r="O1039" s="399" t="s">
        <v>1522</v>
      </c>
      <c r="P1039" s="398" t="s">
        <v>868</v>
      </c>
    </row>
    <row r="1040" spans="1:16" s="401" customFormat="1" ht="60">
      <c r="A1040" s="429">
        <f t="shared" si="50"/>
        <v>1037</v>
      </c>
      <c r="B1040" s="387">
        <v>46119</v>
      </c>
      <c r="C1040" s="388">
        <v>46082</v>
      </c>
      <c r="D1040" s="392" t="s">
        <v>248</v>
      </c>
      <c r="E1040" s="398" t="s">
        <v>592</v>
      </c>
      <c r="F1040" s="404">
        <v>13.8</v>
      </c>
      <c r="G1040" s="397" t="s">
        <v>2994</v>
      </c>
      <c r="H1040" s="392" t="s">
        <v>278</v>
      </c>
      <c r="I1040" s="398" t="s">
        <v>635</v>
      </c>
      <c r="J1040" s="399" t="s">
        <v>636</v>
      </c>
      <c r="K1040" s="394" t="str">
        <f t="shared" si="51"/>
        <v>XXX153830001XX</v>
      </c>
      <c r="L1040" s="391"/>
      <c r="M1040" s="398" t="s">
        <v>712</v>
      </c>
      <c r="N1040" s="399">
        <v>188</v>
      </c>
      <c r="O1040" s="399" t="s">
        <v>1529</v>
      </c>
      <c r="P1040" s="398" t="s">
        <v>574</v>
      </c>
    </row>
    <row r="1041" spans="1:16" s="401" customFormat="1" ht="60">
      <c r="A1041" s="429">
        <f t="shared" si="50"/>
        <v>1038</v>
      </c>
      <c r="B1041" s="387">
        <v>46120</v>
      </c>
      <c r="C1041" s="388">
        <v>46082</v>
      </c>
      <c r="D1041" s="392" t="s">
        <v>248</v>
      </c>
      <c r="E1041" s="398" t="s">
        <v>596</v>
      </c>
      <c r="F1041" s="404">
        <v>70</v>
      </c>
      <c r="G1041" s="397" t="s">
        <v>2995</v>
      </c>
      <c r="H1041" s="389" t="s">
        <v>737</v>
      </c>
      <c r="I1041" s="398" t="s">
        <v>635</v>
      </c>
      <c r="J1041" s="399" t="s">
        <v>636</v>
      </c>
      <c r="K1041" s="394" t="str">
        <f t="shared" si="51"/>
        <v>XXX153830001XX</v>
      </c>
      <c r="L1041" s="391"/>
      <c r="M1041" s="398" t="s">
        <v>712</v>
      </c>
      <c r="N1041" s="399">
        <v>324</v>
      </c>
      <c r="O1041" s="399" t="s">
        <v>1529</v>
      </c>
      <c r="P1041" s="398" t="s">
        <v>868</v>
      </c>
    </row>
    <row r="1042" spans="1:16" s="401" customFormat="1" ht="36">
      <c r="A1042" s="429">
        <f t="shared" si="50"/>
        <v>1039</v>
      </c>
      <c r="B1042" s="387">
        <v>46120</v>
      </c>
      <c r="C1042" s="388">
        <v>46082</v>
      </c>
      <c r="D1042" s="392" t="s">
        <v>248</v>
      </c>
      <c r="E1042" s="482" t="s">
        <v>171</v>
      </c>
      <c r="F1042" s="404">
        <v>210.42</v>
      </c>
      <c r="G1042" s="397" t="s">
        <v>2996</v>
      </c>
      <c r="H1042" s="389" t="s">
        <v>278</v>
      </c>
      <c r="I1042" s="398" t="s">
        <v>635</v>
      </c>
      <c r="J1042" s="399" t="s">
        <v>636</v>
      </c>
      <c r="K1042" s="394" t="str">
        <f t="shared" si="51"/>
        <v>XXX153830001XX</v>
      </c>
      <c r="L1042" s="391"/>
      <c r="M1042" s="398" t="s">
        <v>712</v>
      </c>
      <c r="N1042" s="399">
        <v>29</v>
      </c>
      <c r="O1042" s="399" t="s">
        <v>1522</v>
      </c>
      <c r="P1042" s="398" t="s">
        <v>868</v>
      </c>
    </row>
    <row r="1043" spans="1:16" s="401" customFormat="1" ht="107.25" customHeight="1">
      <c r="A1043" s="429">
        <f t="shared" si="50"/>
        <v>1040</v>
      </c>
      <c r="B1043" s="387">
        <v>46120</v>
      </c>
      <c r="C1043" s="388">
        <v>46082</v>
      </c>
      <c r="D1043" s="392" t="s">
        <v>248</v>
      </c>
      <c r="E1043" s="398" t="s">
        <v>595</v>
      </c>
      <c r="F1043" s="404">
        <v>114.9</v>
      </c>
      <c r="G1043" s="397" t="s">
        <v>2997</v>
      </c>
      <c r="H1043" s="392" t="s">
        <v>278</v>
      </c>
      <c r="I1043" s="398" t="s">
        <v>635</v>
      </c>
      <c r="J1043" s="399" t="s">
        <v>636</v>
      </c>
      <c r="K1043" s="394" t="str">
        <f t="shared" si="51"/>
        <v>XXX153830001XX</v>
      </c>
      <c r="L1043" s="391"/>
      <c r="M1043" s="398" t="s">
        <v>712</v>
      </c>
      <c r="N1043" s="399">
        <v>742</v>
      </c>
      <c r="O1043" s="399" t="s">
        <v>1520</v>
      </c>
      <c r="P1043" s="398" t="s">
        <v>868</v>
      </c>
    </row>
    <row r="1044" spans="1:16" s="401" customFormat="1" ht="104.25" customHeight="1">
      <c r="A1044" s="429">
        <f t="shared" si="50"/>
        <v>1041</v>
      </c>
      <c r="B1044" s="387">
        <v>46120</v>
      </c>
      <c r="C1044" s="388">
        <v>46082</v>
      </c>
      <c r="D1044" s="392" t="s">
        <v>248</v>
      </c>
      <c r="E1044" s="398" t="s">
        <v>1550</v>
      </c>
      <c r="F1044" s="404">
        <f>86.62+0.01</f>
        <v>86.63000000000001</v>
      </c>
      <c r="G1044" s="397" t="s">
        <v>2998</v>
      </c>
      <c r="H1044" s="389" t="s">
        <v>736</v>
      </c>
      <c r="I1044" s="398" t="s">
        <v>635</v>
      </c>
      <c r="J1044" s="399" t="s">
        <v>636</v>
      </c>
      <c r="K1044" s="394" t="str">
        <f t="shared" si="51"/>
        <v>XXX153830001XX</v>
      </c>
      <c r="L1044" s="391"/>
      <c r="M1044" s="398" t="s">
        <v>712</v>
      </c>
      <c r="N1044" s="399">
        <v>2958</v>
      </c>
      <c r="O1044" s="399" t="s">
        <v>1522</v>
      </c>
      <c r="P1044" s="398" t="s">
        <v>868</v>
      </c>
    </row>
    <row r="1045" spans="1:16" s="401" customFormat="1" ht="104.25" customHeight="1">
      <c r="A1045" s="429">
        <f t="shared" ref="A1045:A1104" si="52">IF(B1045="","",ROW()-ROW($A$3))</f>
        <v>1042</v>
      </c>
      <c r="B1045" s="387">
        <v>46120</v>
      </c>
      <c r="C1045" s="388">
        <v>46082</v>
      </c>
      <c r="D1045" s="392" t="s">
        <v>248</v>
      </c>
      <c r="E1045" s="398" t="s">
        <v>1550</v>
      </c>
      <c r="F1045" s="404">
        <f>86.62+0.01</f>
        <v>86.63000000000001</v>
      </c>
      <c r="G1045" s="397" t="s">
        <v>2998</v>
      </c>
      <c r="H1045" s="389" t="s">
        <v>736</v>
      </c>
      <c r="I1045" s="398" t="s">
        <v>635</v>
      </c>
      <c r="J1045" s="399" t="s">
        <v>636</v>
      </c>
      <c r="K1045" s="394" t="s">
        <v>280</v>
      </c>
      <c r="L1045" s="391"/>
      <c r="M1045" s="398" t="s">
        <v>712</v>
      </c>
      <c r="N1045" s="399">
        <v>2957</v>
      </c>
      <c r="O1045" s="399" t="s">
        <v>1520</v>
      </c>
      <c r="P1045" s="398" t="s">
        <v>868</v>
      </c>
    </row>
    <row r="1046" spans="1:16" s="401" customFormat="1" ht="78" customHeight="1">
      <c r="A1046" s="429">
        <f t="shared" si="52"/>
        <v>1043</v>
      </c>
      <c r="B1046" s="387">
        <v>46119</v>
      </c>
      <c r="C1046" s="388">
        <v>46082</v>
      </c>
      <c r="D1046" s="392" t="s">
        <v>248</v>
      </c>
      <c r="E1046" s="482" t="s">
        <v>78</v>
      </c>
      <c r="F1046" s="404">
        <v>15.12</v>
      </c>
      <c r="G1046" s="397" t="s">
        <v>2999</v>
      </c>
      <c r="H1046" s="389" t="s">
        <v>1029</v>
      </c>
      <c r="I1046" s="398" t="s">
        <v>635</v>
      </c>
      <c r="J1046" s="399" t="s">
        <v>636</v>
      </c>
      <c r="K1046" s="394" t="str">
        <f t="shared" si="51"/>
        <v>XXX153830001XX</v>
      </c>
      <c r="L1046" s="391"/>
      <c r="M1046" s="398" t="s">
        <v>712</v>
      </c>
      <c r="N1046" s="399">
        <v>591</v>
      </c>
      <c r="O1046" s="399" t="s">
        <v>1526</v>
      </c>
      <c r="P1046" s="398" t="s">
        <v>574</v>
      </c>
    </row>
    <row r="1047" spans="1:16" s="401" customFormat="1" ht="48">
      <c r="A1047" s="429">
        <f t="shared" si="52"/>
        <v>1044</v>
      </c>
      <c r="B1047" s="387">
        <v>46120</v>
      </c>
      <c r="C1047" s="388">
        <v>46082</v>
      </c>
      <c r="D1047" s="392" t="s">
        <v>248</v>
      </c>
      <c r="E1047" s="481" t="s">
        <v>170</v>
      </c>
      <c r="F1047" s="404">
        <v>101.24</v>
      </c>
      <c r="G1047" s="397" t="s">
        <v>3000</v>
      </c>
      <c r="H1047" s="392" t="s">
        <v>278</v>
      </c>
      <c r="I1047" s="398" t="s">
        <v>635</v>
      </c>
      <c r="J1047" s="399" t="s">
        <v>636</v>
      </c>
      <c r="K1047" s="394" t="str">
        <f t="shared" si="51"/>
        <v>XXX153830001XX</v>
      </c>
      <c r="L1047" s="391"/>
      <c r="M1047" s="398" t="s">
        <v>712</v>
      </c>
      <c r="N1047" s="399">
        <v>30</v>
      </c>
      <c r="O1047" s="399" t="s">
        <v>1526</v>
      </c>
      <c r="P1047" s="398" t="s">
        <v>868</v>
      </c>
    </row>
    <row r="1048" spans="1:16" s="401" customFormat="1" ht="36">
      <c r="A1048" s="429">
        <f t="shared" si="52"/>
        <v>1045</v>
      </c>
      <c r="B1048" s="387">
        <v>46119</v>
      </c>
      <c r="C1048" s="388">
        <v>46082</v>
      </c>
      <c r="D1048" s="392" t="s">
        <v>248</v>
      </c>
      <c r="E1048" s="398" t="s">
        <v>592</v>
      </c>
      <c r="F1048" s="404">
        <v>37.200000000000003</v>
      </c>
      <c r="G1048" s="397" t="s">
        <v>3001</v>
      </c>
      <c r="H1048" s="392" t="s">
        <v>1029</v>
      </c>
      <c r="I1048" s="398" t="s">
        <v>635</v>
      </c>
      <c r="J1048" s="399" t="s">
        <v>636</v>
      </c>
      <c r="K1048" s="394" t="str">
        <f t="shared" si="51"/>
        <v>XXX153830001XX</v>
      </c>
      <c r="L1048" s="391"/>
      <c r="M1048" s="398" t="s">
        <v>712</v>
      </c>
      <c r="N1048" s="399">
        <v>810</v>
      </c>
      <c r="O1048" s="399" t="s">
        <v>1526</v>
      </c>
      <c r="P1048" s="398" t="s">
        <v>574</v>
      </c>
    </row>
    <row r="1049" spans="1:16" s="401" customFormat="1" ht="72">
      <c r="A1049" s="429">
        <f t="shared" si="52"/>
        <v>1046</v>
      </c>
      <c r="B1049" s="387">
        <v>46120</v>
      </c>
      <c r="C1049" s="388">
        <v>46082</v>
      </c>
      <c r="D1049" s="392" t="s">
        <v>248</v>
      </c>
      <c r="E1049" s="398" t="s">
        <v>592</v>
      </c>
      <c r="F1049" s="404">
        <v>23.85</v>
      </c>
      <c r="G1049" s="397" t="s">
        <v>3002</v>
      </c>
      <c r="H1049" s="389" t="s">
        <v>737</v>
      </c>
      <c r="I1049" s="398" t="s">
        <v>635</v>
      </c>
      <c r="J1049" s="399" t="s">
        <v>636</v>
      </c>
      <c r="K1049" s="394" t="str">
        <f t="shared" si="51"/>
        <v>XXX153830001XX</v>
      </c>
      <c r="L1049" s="391"/>
      <c r="M1049" s="398" t="s">
        <v>712</v>
      </c>
      <c r="N1049" s="399">
        <v>251</v>
      </c>
      <c r="O1049" s="399" t="s">
        <v>1526</v>
      </c>
      <c r="P1049" s="398" t="s">
        <v>868</v>
      </c>
    </row>
    <row r="1050" spans="1:16" s="401" customFormat="1" ht="60">
      <c r="A1050" s="429">
        <f t="shared" si="52"/>
        <v>1047</v>
      </c>
      <c r="B1050" s="387">
        <v>46120</v>
      </c>
      <c r="C1050" s="388">
        <v>46082</v>
      </c>
      <c r="D1050" s="392" t="s">
        <v>248</v>
      </c>
      <c r="E1050" s="398" t="s">
        <v>592</v>
      </c>
      <c r="F1050" s="404">
        <v>95.4</v>
      </c>
      <c r="G1050" s="397" t="s">
        <v>3003</v>
      </c>
      <c r="H1050" s="389" t="s">
        <v>737</v>
      </c>
      <c r="I1050" s="398" t="s">
        <v>635</v>
      </c>
      <c r="J1050" s="399" t="s">
        <v>636</v>
      </c>
      <c r="K1050" s="394" t="str">
        <f t="shared" si="51"/>
        <v>XXX153830001XX</v>
      </c>
      <c r="L1050" s="391"/>
      <c r="M1050" s="398" t="s">
        <v>712</v>
      </c>
      <c r="N1050" s="399">
        <v>249</v>
      </c>
      <c r="O1050" s="399" t="s">
        <v>1522</v>
      </c>
      <c r="P1050" s="398" t="s">
        <v>868</v>
      </c>
    </row>
    <row r="1051" spans="1:16" s="401" customFormat="1" ht="36">
      <c r="A1051" s="429">
        <f t="shared" si="52"/>
        <v>1048</v>
      </c>
      <c r="B1051" s="387">
        <v>46120</v>
      </c>
      <c r="C1051" s="388">
        <v>46082</v>
      </c>
      <c r="D1051" s="392" t="s">
        <v>248</v>
      </c>
      <c r="E1051" s="398" t="s">
        <v>599</v>
      </c>
      <c r="F1051" s="404">
        <v>25.12</v>
      </c>
      <c r="G1051" s="397" t="s">
        <v>3004</v>
      </c>
      <c r="H1051" s="389" t="s">
        <v>736</v>
      </c>
      <c r="I1051" s="398" t="s">
        <v>635</v>
      </c>
      <c r="J1051" s="399" t="s">
        <v>636</v>
      </c>
      <c r="K1051" s="394" t="str">
        <f t="shared" si="51"/>
        <v>XXX153830001XX</v>
      </c>
      <c r="L1051" s="391"/>
      <c r="M1051" s="398" t="s">
        <v>712</v>
      </c>
      <c r="N1051" s="399">
        <v>26</v>
      </c>
      <c r="O1051" s="399" t="s">
        <v>1530</v>
      </c>
      <c r="P1051" s="398" t="s">
        <v>868</v>
      </c>
    </row>
    <row r="1052" spans="1:16" s="401" customFormat="1" ht="36">
      <c r="A1052" s="429">
        <f t="shared" si="52"/>
        <v>1049</v>
      </c>
      <c r="B1052" s="387">
        <v>46119</v>
      </c>
      <c r="C1052" s="388">
        <v>46082</v>
      </c>
      <c r="D1052" s="392" t="s">
        <v>166</v>
      </c>
      <c r="E1052" s="398" t="s">
        <v>584</v>
      </c>
      <c r="F1052" s="491">
        <v>0.05</v>
      </c>
      <c r="G1052" s="397" t="s">
        <v>3005</v>
      </c>
      <c r="H1052" s="389" t="s">
        <v>166</v>
      </c>
      <c r="I1052" s="398" t="s">
        <v>635</v>
      </c>
      <c r="J1052" s="399" t="s">
        <v>636</v>
      </c>
      <c r="K1052" s="394" t="str">
        <f t="shared" si="51"/>
        <v>XXX153830001XX</v>
      </c>
      <c r="L1052" s="391"/>
      <c r="M1052" s="398" t="s">
        <v>712</v>
      </c>
      <c r="N1052" s="399">
        <v>90663</v>
      </c>
      <c r="O1052" s="399" t="s">
        <v>1527</v>
      </c>
      <c r="P1052" s="398" t="s">
        <v>572</v>
      </c>
    </row>
    <row r="1053" spans="1:16" s="401" customFormat="1" ht="48">
      <c r="A1053" s="429">
        <f t="shared" si="52"/>
        <v>1050</v>
      </c>
      <c r="B1053" s="387">
        <v>46119</v>
      </c>
      <c r="C1053" s="388">
        <v>46082</v>
      </c>
      <c r="D1053" s="392" t="s">
        <v>248</v>
      </c>
      <c r="E1053" s="398" t="s">
        <v>597</v>
      </c>
      <c r="F1053" s="404">
        <v>1491.39</v>
      </c>
      <c r="G1053" s="397" t="s">
        <v>2316</v>
      </c>
      <c r="H1053" s="392" t="s">
        <v>278</v>
      </c>
      <c r="I1053" s="398" t="s">
        <v>1125</v>
      </c>
      <c r="J1053" s="399" t="s">
        <v>1126</v>
      </c>
      <c r="K1053" s="394" t="str">
        <f t="shared" si="51"/>
        <v>XXX128300001XX</v>
      </c>
      <c r="L1053" s="391"/>
      <c r="M1053" s="398" t="s">
        <v>704</v>
      </c>
      <c r="N1053" s="399">
        <v>2442</v>
      </c>
      <c r="O1053" s="399" t="s">
        <v>1532</v>
      </c>
      <c r="P1053" s="398" t="s">
        <v>574</v>
      </c>
    </row>
    <row r="1054" spans="1:16" s="401" customFormat="1" ht="36">
      <c r="A1054" s="429">
        <f t="shared" si="52"/>
        <v>1051</v>
      </c>
      <c r="B1054" s="387">
        <v>46119</v>
      </c>
      <c r="C1054" s="388">
        <v>46082</v>
      </c>
      <c r="D1054" s="392" t="s">
        <v>248</v>
      </c>
      <c r="E1054" s="398" t="s">
        <v>592</v>
      </c>
      <c r="F1054" s="404">
        <v>10.35</v>
      </c>
      <c r="G1054" s="397" t="s">
        <v>3006</v>
      </c>
      <c r="H1054" s="389" t="s">
        <v>278</v>
      </c>
      <c r="I1054" s="398" t="s">
        <v>635</v>
      </c>
      <c r="J1054" s="399" t="s">
        <v>636</v>
      </c>
      <c r="K1054" s="394" t="str">
        <f t="shared" si="51"/>
        <v>XXX153830001XX</v>
      </c>
      <c r="L1054" s="391"/>
      <c r="M1054" s="398" t="s">
        <v>712</v>
      </c>
      <c r="N1054" s="399">
        <v>316</v>
      </c>
      <c r="O1054" s="399" t="s">
        <v>1530</v>
      </c>
      <c r="P1054" s="398" t="s">
        <v>574</v>
      </c>
    </row>
    <row r="1055" spans="1:16" s="401" customFormat="1" ht="48">
      <c r="A1055" s="429">
        <f t="shared" si="52"/>
        <v>1052</v>
      </c>
      <c r="B1055" s="387">
        <v>46119</v>
      </c>
      <c r="C1055" s="388">
        <v>46082</v>
      </c>
      <c r="D1055" s="392" t="s">
        <v>248</v>
      </c>
      <c r="E1055" s="398" t="s">
        <v>1214</v>
      </c>
      <c r="F1055" s="404">
        <v>1089.51</v>
      </c>
      <c r="G1055" s="397" t="s">
        <v>3007</v>
      </c>
      <c r="H1055" s="389" t="s">
        <v>1029</v>
      </c>
      <c r="I1055" s="398" t="s">
        <v>635</v>
      </c>
      <c r="J1055" s="399" t="s">
        <v>636</v>
      </c>
      <c r="K1055" s="394" t="str">
        <f t="shared" si="51"/>
        <v>XXX153830001XX</v>
      </c>
      <c r="L1055" s="391"/>
      <c r="M1055" s="398" t="s">
        <v>712</v>
      </c>
      <c r="N1055" s="399">
        <v>184</v>
      </c>
      <c r="O1055" s="399" t="s">
        <v>1533</v>
      </c>
      <c r="P1055" s="398" t="s">
        <v>574</v>
      </c>
    </row>
    <row r="1056" spans="1:16" s="401" customFormat="1" ht="36">
      <c r="A1056" s="429">
        <f t="shared" si="52"/>
        <v>1053</v>
      </c>
      <c r="B1056" s="387">
        <v>46119</v>
      </c>
      <c r="C1056" s="388">
        <v>46082</v>
      </c>
      <c r="D1056" s="392" t="s">
        <v>248</v>
      </c>
      <c r="E1056" s="398" t="s">
        <v>802</v>
      </c>
      <c r="F1056" s="404">
        <v>39</v>
      </c>
      <c r="G1056" s="397" t="s">
        <v>3008</v>
      </c>
      <c r="H1056" s="389" t="s">
        <v>737</v>
      </c>
      <c r="I1056" s="398" t="s">
        <v>635</v>
      </c>
      <c r="J1056" s="399" t="s">
        <v>636</v>
      </c>
      <c r="K1056" s="394" t="str">
        <f t="shared" si="51"/>
        <v>XXX153830001XX</v>
      </c>
      <c r="L1056" s="391"/>
      <c r="M1056" s="398" t="s">
        <v>712</v>
      </c>
      <c r="N1056" s="399">
        <v>70</v>
      </c>
      <c r="O1056" s="399" t="s">
        <v>1532</v>
      </c>
      <c r="P1056" s="398" t="s">
        <v>574</v>
      </c>
    </row>
    <row r="1057" spans="1:16" s="401" customFormat="1" ht="72">
      <c r="A1057" s="429">
        <f t="shared" si="52"/>
        <v>1054</v>
      </c>
      <c r="B1057" s="387">
        <v>46119</v>
      </c>
      <c r="C1057" s="388">
        <v>46082</v>
      </c>
      <c r="D1057" s="392" t="s">
        <v>248</v>
      </c>
      <c r="E1057" s="398" t="s">
        <v>600</v>
      </c>
      <c r="F1057" s="404">
        <v>264.81</v>
      </c>
      <c r="G1057" s="397" t="s">
        <v>1840</v>
      </c>
      <c r="H1057" s="389" t="s">
        <v>737</v>
      </c>
      <c r="I1057" s="398" t="s">
        <v>635</v>
      </c>
      <c r="J1057" s="399" t="s">
        <v>636</v>
      </c>
      <c r="K1057" s="394" t="str">
        <f t="shared" si="51"/>
        <v>XXX153830001XX</v>
      </c>
      <c r="L1057" s="391"/>
      <c r="M1057" s="398" t="s">
        <v>712</v>
      </c>
      <c r="N1057" s="399">
        <v>38</v>
      </c>
      <c r="O1057" s="399" t="s">
        <v>1533</v>
      </c>
      <c r="P1057" s="398" t="s">
        <v>574</v>
      </c>
    </row>
    <row r="1058" spans="1:16" s="401" customFormat="1" ht="36">
      <c r="A1058" s="429">
        <f t="shared" si="52"/>
        <v>1055</v>
      </c>
      <c r="B1058" s="387">
        <v>46119</v>
      </c>
      <c r="C1058" s="388">
        <v>46082</v>
      </c>
      <c r="D1058" s="392" t="s">
        <v>248</v>
      </c>
      <c r="E1058" s="481" t="s">
        <v>170</v>
      </c>
      <c r="F1058" s="404">
        <v>3.74</v>
      </c>
      <c r="G1058" s="397" t="s">
        <v>3009</v>
      </c>
      <c r="H1058" s="392" t="s">
        <v>278</v>
      </c>
      <c r="I1058" s="398" t="s">
        <v>635</v>
      </c>
      <c r="J1058" s="399" t="s">
        <v>636</v>
      </c>
      <c r="K1058" s="394" t="str">
        <f t="shared" si="51"/>
        <v>XXX153830001XX</v>
      </c>
      <c r="L1058" s="391"/>
      <c r="M1058" s="398" t="s">
        <v>712</v>
      </c>
      <c r="N1058" s="399">
        <v>28</v>
      </c>
      <c r="O1058" s="399" t="s">
        <v>1529</v>
      </c>
      <c r="P1058" s="398" t="s">
        <v>574</v>
      </c>
    </row>
    <row r="1059" spans="1:16" s="401" customFormat="1" ht="36">
      <c r="A1059" s="429">
        <f t="shared" si="52"/>
        <v>1056</v>
      </c>
      <c r="B1059" s="387">
        <v>46119</v>
      </c>
      <c r="C1059" s="388">
        <v>46082</v>
      </c>
      <c r="D1059" s="392" t="s">
        <v>166</v>
      </c>
      <c r="E1059" s="398" t="s">
        <v>584</v>
      </c>
      <c r="F1059" s="491">
        <v>0.08</v>
      </c>
      <c r="G1059" s="397" t="s">
        <v>3010</v>
      </c>
      <c r="H1059" s="389" t="s">
        <v>166</v>
      </c>
      <c r="I1059" s="398" t="s">
        <v>635</v>
      </c>
      <c r="J1059" s="399" t="s">
        <v>636</v>
      </c>
      <c r="K1059" s="394" t="str">
        <f t="shared" si="51"/>
        <v>XXX153830001XX</v>
      </c>
      <c r="L1059" s="391"/>
      <c r="M1059" s="398" t="s">
        <v>712</v>
      </c>
      <c r="N1059" s="399">
        <v>92690</v>
      </c>
      <c r="O1059" s="399" t="s">
        <v>1532</v>
      </c>
      <c r="P1059" s="398" t="s">
        <v>572</v>
      </c>
    </row>
    <row r="1060" spans="1:16" s="401" customFormat="1" ht="36">
      <c r="A1060" s="429">
        <f t="shared" si="52"/>
        <v>1057</v>
      </c>
      <c r="B1060" s="387">
        <v>46120</v>
      </c>
      <c r="C1060" s="388">
        <v>46082</v>
      </c>
      <c r="D1060" s="392" t="s">
        <v>248</v>
      </c>
      <c r="E1060" s="482" t="s">
        <v>78</v>
      </c>
      <c r="F1060" s="404">
        <v>198.2</v>
      </c>
      <c r="G1060" s="397" t="s">
        <v>3011</v>
      </c>
      <c r="H1060" s="389" t="s">
        <v>738</v>
      </c>
      <c r="I1060" s="398" t="s">
        <v>635</v>
      </c>
      <c r="J1060" s="399" t="s">
        <v>636</v>
      </c>
      <c r="K1060" s="394" t="str">
        <f t="shared" si="51"/>
        <v>XXX153830001XX</v>
      </c>
      <c r="L1060" s="391"/>
      <c r="M1060" s="398" t="s">
        <v>712</v>
      </c>
      <c r="N1060" s="399">
        <v>382</v>
      </c>
      <c r="O1060" s="399" t="s">
        <v>1540</v>
      </c>
      <c r="P1060" s="398" t="s">
        <v>868</v>
      </c>
    </row>
    <row r="1061" spans="1:16" s="401" customFormat="1" ht="84">
      <c r="A1061" s="429">
        <f t="shared" si="52"/>
        <v>1058</v>
      </c>
      <c r="B1061" s="387">
        <v>46120</v>
      </c>
      <c r="C1061" s="388">
        <v>46082</v>
      </c>
      <c r="D1061" s="392" t="s">
        <v>248</v>
      </c>
      <c r="E1061" s="398" t="s">
        <v>1550</v>
      </c>
      <c r="F1061" s="404">
        <v>74.55</v>
      </c>
      <c r="G1061" s="397" t="s">
        <v>3012</v>
      </c>
      <c r="H1061" s="389" t="s">
        <v>736</v>
      </c>
      <c r="I1061" s="398" t="s">
        <v>635</v>
      </c>
      <c r="J1061" s="399" t="s">
        <v>636</v>
      </c>
      <c r="K1061" s="399" t="s">
        <v>280</v>
      </c>
      <c r="L1061" s="391"/>
      <c r="M1061" s="398" t="s">
        <v>712</v>
      </c>
      <c r="N1061" s="399">
        <v>1399</v>
      </c>
      <c r="O1061" s="399" t="s">
        <v>1539</v>
      </c>
      <c r="P1061" s="398" t="s">
        <v>868</v>
      </c>
    </row>
    <row r="1062" spans="1:16" s="401" customFormat="1" ht="84">
      <c r="A1062" s="429">
        <f t="shared" si="52"/>
        <v>1059</v>
      </c>
      <c r="B1062" s="387">
        <v>46120</v>
      </c>
      <c r="C1062" s="388">
        <v>46082</v>
      </c>
      <c r="D1062" s="392" t="s">
        <v>248</v>
      </c>
      <c r="E1062" s="398" t="s">
        <v>1550</v>
      </c>
      <c r="F1062" s="404">
        <v>59.64</v>
      </c>
      <c r="G1062" s="397" t="s">
        <v>3013</v>
      </c>
      <c r="H1062" s="389" t="s">
        <v>736</v>
      </c>
      <c r="I1062" s="398" t="s">
        <v>635</v>
      </c>
      <c r="J1062" s="399" t="s">
        <v>636</v>
      </c>
      <c r="K1062" s="394" t="str">
        <f t="shared" si="51"/>
        <v>XXX153830001XX</v>
      </c>
      <c r="L1062" s="391"/>
      <c r="M1062" s="398" t="s">
        <v>712</v>
      </c>
      <c r="N1062" s="399">
        <v>1398</v>
      </c>
      <c r="O1062" s="399" t="s">
        <v>1539</v>
      </c>
      <c r="P1062" s="398" t="s">
        <v>868</v>
      </c>
    </row>
    <row r="1063" spans="1:16" s="401" customFormat="1" ht="36">
      <c r="A1063" s="429">
        <f t="shared" si="52"/>
        <v>1060</v>
      </c>
      <c r="B1063" s="387">
        <v>46120</v>
      </c>
      <c r="C1063" s="388">
        <v>46082</v>
      </c>
      <c r="D1063" s="392" t="s">
        <v>248</v>
      </c>
      <c r="E1063" s="398" t="s">
        <v>1211</v>
      </c>
      <c r="F1063" s="404">
        <v>425</v>
      </c>
      <c r="G1063" s="397" t="s">
        <v>3014</v>
      </c>
      <c r="H1063" s="389" t="s">
        <v>278</v>
      </c>
      <c r="I1063" s="398" t="s">
        <v>635</v>
      </c>
      <c r="J1063" s="399" t="s">
        <v>636</v>
      </c>
      <c r="K1063" s="394" t="str">
        <f t="shared" si="51"/>
        <v>XXX153830001XX</v>
      </c>
      <c r="L1063" s="403"/>
      <c r="M1063" s="398" t="s">
        <v>712</v>
      </c>
      <c r="N1063" s="399">
        <v>16</v>
      </c>
      <c r="O1063" s="399" t="s">
        <v>1540</v>
      </c>
      <c r="P1063" s="398" t="s">
        <v>868</v>
      </c>
    </row>
    <row r="1064" spans="1:16" s="401" customFormat="1" ht="104.25" customHeight="1">
      <c r="A1064" s="429">
        <f t="shared" si="52"/>
        <v>1061</v>
      </c>
      <c r="B1064" s="387">
        <v>46120</v>
      </c>
      <c r="C1064" s="388">
        <v>46082</v>
      </c>
      <c r="D1064" s="392" t="s">
        <v>248</v>
      </c>
      <c r="E1064" s="398" t="s">
        <v>1550</v>
      </c>
      <c r="F1064" s="404">
        <f>86.62+0.01</f>
        <v>86.63000000000001</v>
      </c>
      <c r="G1064" s="397" t="s">
        <v>2998</v>
      </c>
      <c r="H1064" s="389" t="s">
        <v>736</v>
      </c>
      <c r="I1064" s="398" t="s">
        <v>635</v>
      </c>
      <c r="J1064" s="399" t="s">
        <v>636</v>
      </c>
      <c r="K1064" s="394" t="str">
        <f t="shared" si="51"/>
        <v>XXX153830001XX</v>
      </c>
      <c r="L1064" s="391"/>
      <c r="M1064" s="398" t="s">
        <v>712</v>
      </c>
      <c r="N1064" s="399">
        <v>2942</v>
      </c>
      <c r="O1064" s="399" t="s">
        <v>1520</v>
      </c>
      <c r="P1064" s="398" t="s">
        <v>868</v>
      </c>
    </row>
    <row r="1065" spans="1:16" s="401" customFormat="1" ht="39.75" customHeight="1">
      <c r="A1065" s="429">
        <f t="shared" si="52"/>
        <v>1062</v>
      </c>
      <c r="B1065" s="387">
        <v>46120</v>
      </c>
      <c r="C1065" s="388">
        <v>46082</v>
      </c>
      <c r="D1065" s="392" t="s">
        <v>248</v>
      </c>
      <c r="E1065" s="398" t="s">
        <v>601</v>
      </c>
      <c r="F1065" s="404">
        <v>574.22</v>
      </c>
      <c r="G1065" s="397" t="s">
        <v>3015</v>
      </c>
      <c r="H1065" s="389" t="s">
        <v>278</v>
      </c>
      <c r="I1065" s="398" t="s">
        <v>635</v>
      </c>
      <c r="J1065" s="399" t="s">
        <v>636</v>
      </c>
      <c r="K1065" s="394" t="str">
        <f t="shared" si="51"/>
        <v>XXX153830001XX</v>
      </c>
      <c r="L1065" s="391"/>
      <c r="M1065" s="398" t="s">
        <v>712</v>
      </c>
      <c r="N1065" s="399">
        <v>177</v>
      </c>
      <c r="O1065" s="399" t="s">
        <v>1537</v>
      </c>
      <c r="P1065" s="398" t="s">
        <v>868</v>
      </c>
    </row>
    <row r="1066" spans="1:16" s="401" customFormat="1" ht="36">
      <c r="A1066" s="429">
        <f t="shared" si="52"/>
        <v>1063</v>
      </c>
      <c r="B1066" s="387">
        <v>46119</v>
      </c>
      <c r="C1066" s="388">
        <v>46082</v>
      </c>
      <c r="D1066" s="392" t="s">
        <v>248</v>
      </c>
      <c r="E1066" s="398" t="s">
        <v>595</v>
      </c>
      <c r="F1066" s="404">
        <v>7</v>
      </c>
      <c r="G1066" s="397" t="s">
        <v>3016</v>
      </c>
      <c r="H1066" s="389" t="s">
        <v>278</v>
      </c>
      <c r="I1066" s="398" t="s">
        <v>635</v>
      </c>
      <c r="J1066" s="399" t="s">
        <v>636</v>
      </c>
      <c r="K1066" s="394" t="str">
        <f t="shared" si="51"/>
        <v>XXX153830001XX</v>
      </c>
      <c r="L1066" s="391"/>
      <c r="M1066" s="398" t="s">
        <v>712</v>
      </c>
      <c r="N1066" s="399">
        <v>845</v>
      </c>
      <c r="O1066" s="399" t="s">
        <v>1535</v>
      </c>
      <c r="P1066" s="398" t="s">
        <v>574</v>
      </c>
    </row>
    <row r="1067" spans="1:16" s="401" customFormat="1" ht="36">
      <c r="A1067" s="429">
        <f t="shared" si="52"/>
        <v>1064</v>
      </c>
      <c r="B1067" s="387">
        <v>46119</v>
      </c>
      <c r="C1067" s="388">
        <v>46082</v>
      </c>
      <c r="D1067" s="392" t="s">
        <v>248</v>
      </c>
      <c r="E1067" s="398" t="s">
        <v>592</v>
      </c>
      <c r="F1067" s="404">
        <v>17.7</v>
      </c>
      <c r="G1067" s="397" t="s">
        <v>3017</v>
      </c>
      <c r="H1067" s="389" t="s">
        <v>1418</v>
      </c>
      <c r="I1067" s="398" t="s">
        <v>635</v>
      </c>
      <c r="J1067" s="399" t="s">
        <v>636</v>
      </c>
      <c r="K1067" s="394" t="str">
        <f t="shared" si="51"/>
        <v>XXX153830001XX</v>
      </c>
      <c r="L1067" s="391"/>
      <c r="M1067" s="398" t="s">
        <v>712</v>
      </c>
      <c r="N1067" s="399">
        <v>511</v>
      </c>
      <c r="O1067" s="399" t="s">
        <v>1536</v>
      </c>
      <c r="P1067" s="398" t="s">
        <v>574</v>
      </c>
    </row>
    <row r="1068" spans="1:16" s="401" customFormat="1" ht="60">
      <c r="A1068" s="429">
        <f t="shared" si="52"/>
        <v>1065</v>
      </c>
      <c r="B1068" s="387">
        <v>46119</v>
      </c>
      <c r="C1068" s="388">
        <v>46082</v>
      </c>
      <c r="D1068" s="392" t="s">
        <v>248</v>
      </c>
      <c r="E1068" s="398" t="s">
        <v>604</v>
      </c>
      <c r="F1068" s="404">
        <v>0.75</v>
      </c>
      <c r="G1068" s="397" t="s">
        <v>3018</v>
      </c>
      <c r="H1068" s="389" t="s">
        <v>1029</v>
      </c>
      <c r="I1068" s="398" t="s">
        <v>635</v>
      </c>
      <c r="J1068" s="399" t="s">
        <v>636</v>
      </c>
      <c r="K1068" s="394" t="str">
        <f t="shared" si="51"/>
        <v>XXX153830001XX</v>
      </c>
      <c r="L1068" s="391"/>
      <c r="M1068" s="398" t="s">
        <v>712</v>
      </c>
      <c r="N1068" s="399">
        <v>94652</v>
      </c>
      <c r="O1068" s="399" t="s">
        <v>1532</v>
      </c>
      <c r="P1068" s="398" t="s">
        <v>574</v>
      </c>
    </row>
    <row r="1069" spans="1:16" s="401" customFormat="1" ht="48">
      <c r="A1069" s="429">
        <f t="shared" si="52"/>
        <v>1066</v>
      </c>
      <c r="B1069" s="387">
        <v>46120</v>
      </c>
      <c r="C1069" s="388">
        <v>46082</v>
      </c>
      <c r="D1069" s="392" t="s">
        <v>248</v>
      </c>
      <c r="E1069" s="398" t="s">
        <v>604</v>
      </c>
      <c r="F1069" s="404">
        <f>239.17+0.01</f>
        <v>239.17999999999998</v>
      </c>
      <c r="G1069" s="397" t="s">
        <v>3019</v>
      </c>
      <c r="H1069" s="389" t="s">
        <v>1029</v>
      </c>
      <c r="I1069" s="398" t="s">
        <v>635</v>
      </c>
      <c r="J1069" s="399" t="s">
        <v>636</v>
      </c>
      <c r="K1069" s="394" t="str">
        <f t="shared" si="51"/>
        <v>XXX153830001XX</v>
      </c>
      <c r="L1069" s="391"/>
      <c r="M1069" s="398" t="s">
        <v>712</v>
      </c>
      <c r="N1069" s="399">
        <v>2280763</v>
      </c>
      <c r="O1069" s="399" t="s">
        <v>1536</v>
      </c>
      <c r="P1069" s="398" t="s">
        <v>868</v>
      </c>
    </row>
    <row r="1070" spans="1:16" s="401" customFormat="1" ht="48">
      <c r="A1070" s="429">
        <f t="shared" si="52"/>
        <v>1067</v>
      </c>
      <c r="B1070" s="387">
        <v>46120</v>
      </c>
      <c r="C1070" s="388">
        <v>46082</v>
      </c>
      <c r="D1070" s="392" t="s">
        <v>248</v>
      </c>
      <c r="E1070" s="398" t="s">
        <v>1550</v>
      </c>
      <c r="F1070" s="404">
        <v>69.3</v>
      </c>
      <c r="G1070" s="397" t="s">
        <v>3020</v>
      </c>
      <c r="H1070" s="389" t="s">
        <v>736</v>
      </c>
      <c r="I1070" s="398" t="s">
        <v>635</v>
      </c>
      <c r="J1070" s="399" t="s">
        <v>636</v>
      </c>
      <c r="K1070" s="394" t="str">
        <f t="shared" ref="K1070:K1110" si="53">IF(J1070="","",IF(LEN(J1070)&gt;14,IF(ISBLANK(J1070),"",J1070),REPLACE(REPLACE(J1070,1,3,"XXX"),13,2,"XX")))</f>
        <v>XXX153830001XX</v>
      </c>
      <c r="L1070" s="403"/>
      <c r="M1070" s="398" t="s">
        <v>712</v>
      </c>
      <c r="N1070" s="399">
        <v>3090</v>
      </c>
      <c r="O1070" s="399" t="s">
        <v>1527</v>
      </c>
      <c r="P1070" s="398" t="s">
        <v>868</v>
      </c>
    </row>
    <row r="1071" spans="1:16" s="401" customFormat="1" ht="78.75" customHeight="1">
      <c r="A1071" s="429">
        <f t="shared" si="52"/>
        <v>1068</v>
      </c>
      <c r="B1071" s="387">
        <v>46120</v>
      </c>
      <c r="C1071" s="388">
        <v>46082</v>
      </c>
      <c r="D1071" s="392" t="s">
        <v>248</v>
      </c>
      <c r="E1071" s="398" t="s">
        <v>1550</v>
      </c>
      <c r="F1071" s="404">
        <v>51.98</v>
      </c>
      <c r="G1071" s="397" t="s">
        <v>3021</v>
      </c>
      <c r="H1071" s="389" t="s">
        <v>736</v>
      </c>
      <c r="I1071" s="398" t="s">
        <v>635</v>
      </c>
      <c r="J1071" s="399" t="s">
        <v>636</v>
      </c>
      <c r="K1071" s="394" t="str">
        <f t="shared" si="53"/>
        <v>XXX153830001XX</v>
      </c>
      <c r="L1071" s="391"/>
      <c r="M1071" s="398" t="s">
        <v>712</v>
      </c>
      <c r="N1071" s="399">
        <v>3393</v>
      </c>
      <c r="O1071" s="399" t="s">
        <v>1537</v>
      </c>
      <c r="P1071" s="398" t="s">
        <v>868</v>
      </c>
    </row>
    <row r="1072" spans="1:16" s="401" customFormat="1" ht="64.5" customHeight="1">
      <c r="A1072" s="429">
        <f t="shared" si="52"/>
        <v>1069</v>
      </c>
      <c r="B1072" s="387">
        <v>46119</v>
      </c>
      <c r="C1072" s="388">
        <v>46082</v>
      </c>
      <c r="D1072" s="392" t="s">
        <v>248</v>
      </c>
      <c r="E1072" s="398" t="s">
        <v>592</v>
      </c>
      <c r="F1072" s="404">
        <v>66.56</v>
      </c>
      <c r="G1072" s="397" t="s">
        <v>3022</v>
      </c>
      <c r="H1072" s="392" t="s">
        <v>1029</v>
      </c>
      <c r="I1072" s="398" t="s">
        <v>635</v>
      </c>
      <c r="J1072" s="399" t="s">
        <v>636</v>
      </c>
      <c r="K1072" s="394" t="str">
        <f t="shared" si="53"/>
        <v>XXX153830001XX</v>
      </c>
      <c r="L1072" s="391"/>
      <c r="M1072" s="398" t="s">
        <v>712</v>
      </c>
      <c r="N1072" s="399">
        <v>727</v>
      </c>
      <c r="O1072" s="399" t="s">
        <v>1534</v>
      </c>
      <c r="P1072" s="398" t="s">
        <v>574</v>
      </c>
    </row>
    <row r="1073" spans="1:16" s="401" customFormat="1" ht="72">
      <c r="A1073" s="429">
        <f t="shared" si="52"/>
        <v>1070</v>
      </c>
      <c r="B1073" s="387">
        <v>46120</v>
      </c>
      <c r="C1073" s="388">
        <v>46082</v>
      </c>
      <c r="D1073" s="392" t="s">
        <v>248</v>
      </c>
      <c r="E1073" s="398" t="s">
        <v>590</v>
      </c>
      <c r="F1073" s="404">
        <v>295.62</v>
      </c>
      <c r="G1073" s="397" t="s">
        <v>3023</v>
      </c>
      <c r="H1073" s="389" t="s">
        <v>736</v>
      </c>
      <c r="I1073" s="398" t="s">
        <v>635</v>
      </c>
      <c r="J1073" s="399" t="s">
        <v>636</v>
      </c>
      <c r="K1073" s="394" t="str">
        <f t="shared" si="53"/>
        <v>XXX153830001XX</v>
      </c>
      <c r="L1073" s="391"/>
      <c r="M1073" s="398" t="s">
        <v>712</v>
      </c>
      <c r="N1073" s="399">
        <v>703</v>
      </c>
      <c r="O1073" s="399" t="s">
        <v>1532</v>
      </c>
      <c r="P1073" s="398" t="s">
        <v>868</v>
      </c>
    </row>
    <row r="1074" spans="1:16" s="401" customFormat="1" ht="36">
      <c r="A1074" s="429">
        <f t="shared" si="52"/>
        <v>1071</v>
      </c>
      <c r="B1074" s="387">
        <v>46119</v>
      </c>
      <c r="C1074" s="388">
        <v>46082</v>
      </c>
      <c r="D1074" s="392" t="s">
        <v>248</v>
      </c>
      <c r="E1074" s="398" t="s">
        <v>592</v>
      </c>
      <c r="F1074" s="404">
        <v>0.72</v>
      </c>
      <c r="G1074" s="397" t="s">
        <v>3024</v>
      </c>
      <c r="H1074" s="392" t="s">
        <v>278</v>
      </c>
      <c r="I1074" s="398" t="s">
        <v>635</v>
      </c>
      <c r="J1074" s="399" t="s">
        <v>636</v>
      </c>
      <c r="K1074" s="394" t="str">
        <f t="shared" si="53"/>
        <v>XXX153830001XX</v>
      </c>
      <c r="L1074" s="391"/>
      <c r="M1074" s="398" t="s">
        <v>712</v>
      </c>
      <c r="N1074" s="399">
        <v>2011</v>
      </c>
      <c r="O1074" s="399" t="s">
        <v>1534</v>
      </c>
      <c r="P1074" s="398" t="s">
        <v>574</v>
      </c>
    </row>
    <row r="1075" spans="1:16" s="401" customFormat="1" ht="36">
      <c r="A1075" s="429">
        <f t="shared" si="52"/>
        <v>1072</v>
      </c>
      <c r="B1075" s="387">
        <v>46119</v>
      </c>
      <c r="C1075" s="388">
        <v>46082</v>
      </c>
      <c r="D1075" s="392" t="s">
        <v>248</v>
      </c>
      <c r="E1075" s="398" t="s">
        <v>591</v>
      </c>
      <c r="F1075" s="404">
        <v>4.18</v>
      </c>
      <c r="G1075" s="397" t="s">
        <v>1789</v>
      </c>
      <c r="H1075" s="389" t="s">
        <v>736</v>
      </c>
      <c r="I1075" s="398" t="s">
        <v>635</v>
      </c>
      <c r="J1075" s="399" t="s">
        <v>636</v>
      </c>
      <c r="K1075" s="394" t="str">
        <f t="shared" si="53"/>
        <v>XXX153830001XX</v>
      </c>
      <c r="L1075" s="391"/>
      <c r="M1075" s="398" t="s">
        <v>712</v>
      </c>
      <c r="N1075" s="399">
        <v>207</v>
      </c>
      <c r="O1075" s="399" t="s">
        <v>1534</v>
      </c>
      <c r="P1075" s="398" t="s">
        <v>574</v>
      </c>
    </row>
    <row r="1076" spans="1:16" s="401" customFormat="1" ht="36">
      <c r="A1076" s="429">
        <f t="shared" si="52"/>
        <v>1073</v>
      </c>
      <c r="B1076" s="387">
        <v>46119</v>
      </c>
      <c r="C1076" s="388">
        <v>46082</v>
      </c>
      <c r="D1076" s="392" t="s">
        <v>166</v>
      </c>
      <c r="E1076" s="398" t="s">
        <v>603</v>
      </c>
      <c r="F1076" s="491">
        <v>1084.07</v>
      </c>
      <c r="G1076" s="397" t="s">
        <v>3025</v>
      </c>
      <c r="H1076" s="389" t="s">
        <v>166</v>
      </c>
      <c r="I1076" s="398" t="s">
        <v>635</v>
      </c>
      <c r="J1076" s="399" t="s">
        <v>636</v>
      </c>
      <c r="K1076" s="394" t="str">
        <f t="shared" si="53"/>
        <v>XXX153830001XX</v>
      </c>
      <c r="L1076" s="391"/>
      <c r="M1076" s="398" t="s">
        <v>712</v>
      </c>
      <c r="N1076" s="399">
        <v>160830</v>
      </c>
      <c r="O1076" s="399" t="s">
        <v>2111</v>
      </c>
      <c r="P1076" s="398" t="s">
        <v>572</v>
      </c>
    </row>
    <row r="1077" spans="1:16" s="401" customFormat="1" ht="36">
      <c r="A1077" s="429">
        <f t="shared" si="52"/>
        <v>1074</v>
      </c>
      <c r="B1077" s="387">
        <v>46119</v>
      </c>
      <c r="C1077" s="388">
        <v>46082</v>
      </c>
      <c r="D1077" s="392" t="s">
        <v>166</v>
      </c>
      <c r="E1077" s="398" t="s">
        <v>603</v>
      </c>
      <c r="F1077" s="491">
        <v>73.89</v>
      </c>
      <c r="G1077" s="397" t="s">
        <v>3025</v>
      </c>
      <c r="H1077" s="389" t="s">
        <v>166</v>
      </c>
      <c r="I1077" s="398" t="s">
        <v>635</v>
      </c>
      <c r="J1077" s="399" t="s">
        <v>636</v>
      </c>
      <c r="K1077" s="394" t="str">
        <f t="shared" si="53"/>
        <v>XXX153830001XX</v>
      </c>
      <c r="L1077" s="391"/>
      <c r="M1077" s="398" t="s">
        <v>712</v>
      </c>
      <c r="N1077" s="399">
        <v>108775</v>
      </c>
      <c r="O1077" s="399" t="s">
        <v>1524</v>
      </c>
      <c r="P1077" s="398" t="s">
        <v>572</v>
      </c>
    </row>
    <row r="1078" spans="1:16" s="401" customFormat="1" ht="48">
      <c r="A1078" s="429">
        <f t="shared" si="52"/>
        <v>1075</v>
      </c>
      <c r="B1078" s="387">
        <v>46120</v>
      </c>
      <c r="C1078" s="388">
        <v>46082</v>
      </c>
      <c r="D1078" s="392" t="s">
        <v>248</v>
      </c>
      <c r="E1078" s="398" t="s">
        <v>590</v>
      </c>
      <c r="F1078" s="404">
        <v>90</v>
      </c>
      <c r="G1078" s="397" t="s">
        <v>3026</v>
      </c>
      <c r="H1078" s="389" t="s">
        <v>736</v>
      </c>
      <c r="I1078" s="398" t="s">
        <v>635</v>
      </c>
      <c r="J1078" s="399" t="s">
        <v>636</v>
      </c>
      <c r="K1078" s="394" t="str">
        <f t="shared" si="53"/>
        <v>XXX153830001XX</v>
      </c>
      <c r="L1078" s="391"/>
      <c r="M1078" s="398" t="s">
        <v>712</v>
      </c>
      <c r="N1078" s="399">
        <v>617</v>
      </c>
      <c r="O1078" s="399" t="s">
        <v>1541</v>
      </c>
      <c r="P1078" s="398" t="s">
        <v>868</v>
      </c>
    </row>
    <row r="1079" spans="1:16" s="401" customFormat="1" ht="48">
      <c r="A1079" s="429">
        <f t="shared" si="52"/>
        <v>1076</v>
      </c>
      <c r="B1079" s="387">
        <v>46120</v>
      </c>
      <c r="C1079" s="388">
        <v>46082</v>
      </c>
      <c r="D1079" s="392" t="s">
        <v>248</v>
      </c>
      <c r="E1079" s="398" t="s">
        <v>2254</v>
      </c>
      <c r="F1079" s="404">
        <v>127.24</v>
      </c>
      <c r="G1079" s="397" t="s">
        <v>3027</v>
      </c>
      <c r="H1079" s="389" t="s">
        <v>737</v>
      </c>
      <c r="I1079" s="398" t="s">
        <v>635</v>
      </c>
      <c r="J1079" s="399" t="s">
        <v>636</v>
      </c>
      <c r="K1079" s="394" t="str">
        <f t="shared" si="53"/>
        <v>XXX153830001XX</v>
      </c>
      <c r="L1079" s="391"/>
      <c r="M1079" s="398" t="s">
        <v>712</v>
      </c>
      <c r="N1079" s="399">
        <v>51</v>
      </c>
      <c r="O1079" s="399" t="s">
        <v>1541</v>
      </c>
      <c r="P1079" s="398" t="s">
        <v>868</v>
      </c>
    </row>
    <row r="1080" spans="1:16" s="401" customFormat="1" ht="36">
      <c r="A1080" s="429">
        <f t="shared" si="52"/>
        <v>1077</v>
      </c>
      <c r="B1080" s="387">
        <v>46119</v>
      </c>
      <c r="C1080" s="388">
        <v>46082</v>
      </c>
      <c r="D1080" s="392" t="s">
        <v>248</v>
      </c>
      <c r="E1080" s="398" t="s">
        <v>608</v>
      </c>
      <c r="F1080" s="404">
        <v>7.5</v>
      </c>
      <c r="G1080" s="397" t="s">
        <v>3028</v>
      </c>
      <c r="H1080" s="389" t="s">
        <v>278</v>
      </c>
      <c r="I1080" s="398" t="s">
        <v>635</v>
      </c>
      <c r="J1080" s="399" t="s">
        <v>636</v>
      </c>
      <c r="K1080" s="394" t="str">
        <f t="shared" si="53"/>
        <v>XXX153830001XX</v>
      </c>
      <c r="L1080" s="391"/>
      <c r="M1080" s="398" t="s">
        <v>712</v>
      </c>
      <c r="N1080" s="399">
        <v>24</v>
      </c>
      <c r="O1080" s="399" t="s">
        <v>2108</v>
      </c>
      <c r="P1080" s="398" t="s">
        <v>574</v>
      </c>
    </row>
    <row r="1081" spans="1:16" s="401" customFormat="1" ht="90" customHeight="1">
      <c r="A1081" s="429">
        <f t="shared" si="52"/>
        <v>1078</v>
      </c>
      <c r="B1081" s="387">
        <v>46120</v>
      </c>
      <c r="C1081" s="388">
        <v>46082</v>
      </c>
      <c r="D1081" s="392" t="s">
        <v>248</v>
      </c>
      <c r="E1081" s="398" t="s">
        <v>598</v>
      </c>
      <c r="F1081" s="404">
        <v>63.76</v>
      </c>
      <c r="G1081" s="397" t="s">
        <v>3029</v>
      </c>
      <c r="H1081" s="389" t="s">
        <v>736</v>
      </c>
      <c r="I1081" s="398" t="s">
        <v>635</v>
      </c>
      <c r="J1081" s="399" t="s">
        <v>636</v>
      </c>
      <c r="K1081" s="394" t="str">
        <f t="shared" si="53"/>
        <v>XXX153830001XX</v>
      </c>
      <c r="L1081" s="391"/>
      <c r="M1081" s="398" t="s">
        <v>712</v>
      </c>
      <c r="N1081" s="399">
        <v>12</v>
      </c>
      <c r="O1081" s="399" t="s">
        <v>2109</v>
      </c>
      <c r="P1081" s="398" t="s">
        <v>868</v>
      </c>
    </row>
    <row r="1082" spans="1:16" s="401" customFormat="1" ht="111" customHeight="1">
      <c r="A1082" s="429">
        <f t="shared" si="52"/>
        <v>1079</v>
      </c>
      <c r="B1082" s="387">
        <v>46119</v>
      </c>
      <c r="C1082" s="388">
        <v>46082</v>
      </c>
      <c r="D1082" s="392" t="s">
        <v>248</v>
      </c>
      <c r="E1082" s="398" t="s">
        <v>758</v>
      </c>
      <c r="F1082" s="404">
        <v>4834.45</v>
      </c>
      <c r="G1082" s="397" t="s">
        <v>3030</v>
      </c>
      <c r="H1082" s="392" t="s">
        <v>738</v>
      </c>
      <c r="I1082" s="398" t="s">
        <v>635</v>
      </c>
      <c r="J1082" s="399" t="s">
        <v>636</v>
      </c>
      <c r="K1082" s="394" t="str">
        <f t="shared" si="53"/>
        <v>XXX153830001XX</v>
      </c>
      <c r="L1082" s="391"/>
      <c r="M1082" s="398" t="s">
        <v>712</v>
      </c>
      <c r="N1082" s="399">
        <v>216</v>
      </c>
      <c r="O1082" s="399" t="s">
        <v>1542</v>
      </c>
      <c r="P1082" s="398" t="s">
        <v>574</v>
      </c>
    </row>
    <row r="1083" spans="1:16" s="401" customFormat="1" ht="48">
      <c r="A1083" s="429">
        <f t="shared" si="52"/>
        <v>1080</v>
      </c>
      <c r="B1083" s="387">
        <v>46120</v>
      </c>
      <c r="C1083" s="388">
        <v>46082</v>
      </c>
      <c r="D1083" s="392" t="s">
        <v>248</v>
      </c>
      <c r="E1083" s="398" t="s">
        <v>594</v>
      </c>
      <c r="F1083" s="404">
        <v>425</v>
      </c>
      <c r="G1083" s="397" t="s">
        <v>3031</v>
      </c>
      <c r="H1083" s="392" t="s">
        <v>737</v>
      </c>
      <c r="I1083" s="398" t="s">
        <v>635</v>
      </c>
      <c r="J1083" s="399" t="s">
        <v>636</v>
      </c>
      <c r="K1083" s="394" t="str">
        <f t="shared" si="53"/>
        <v>XXX153830001XX</v>
      </c>
      <c r="L1083" s="391"/>
      <c r="M1083" s="398" t="s">
        <v>712</v>
      </c>
      <c r="N1083" s="399">
        <v>15</v>
      </c>
      <c r="O1083" s="399" t="s">
        <v>1538</v>
      </c>
      <c r="P1083" s="398" t="s">
        <v>868</v>
      </c>
    </row>
    <row r="1084" spans="1:16" s="401" customFormat="1" ht="36">
      <c r="A1084" s="429">
        <f t="shared" si="52"/>
        <v>1081</v>
      </c>
      <c r="B1084" s="387">
        <v>46119</v>
      </c>
      <c r="C1084" s="388">
        <v>46082</v>
      </c>
      <c r="D1084" s="392" t="s">
        <v>248</v>
      </c>
      <c r="E1084" s="482" t="s">
        <v>171</v>
      </c>
      <c r="F1084" s="404">
        <v>27.83</v>
      </c>
      <c r="G1084" s="397" t="s">
        <v>3032</v>
      </c>
      <c r="H1084" s="389" t="s">
        <v>278</v>
      </c>
      <c r="I1084" s="398" t="s">
        <v>635</v>
      </c>
      <c r="J1084" s="399" t="s">
        <v>636</v>
      </c>
      <c r="K1084" s="394" t="str">
        <f t="shared" si="53"/>
        <v>XXX153830001XX</v>
      </c>
      <c r="L1084" s="391"/>
      <c r="M1084" s="398" t="s">
        <v>712</v>
      </c>
      <c r="N1084" s="399">
        <v>230</v>
      </c>
      <c r="O1084" s="399" t="s">
        <v>1535</v>
      </c>
      <c r="P1084" s="398" t="s">
        <v>574</v>
      </c>
    </row>
    <row r="1085" spans="1:16" s="401" customFormat="1" ht="36">
      <c r="A1085" s="429">
        <f t="shared" si="52"/>
        <v>1082</v>
      </c>
      <c r="B1085" s="387">
        <v>46119</v>
      </c>
      <c r="C1085" s="388">
        <v>46082</v>
      </c>
      <c r="D1085" s="392" t="s">
        <v>166</v>
      </c>
      <c r="E1085" s="398" t="s">
        <v>584</v>
      </c>
      <c r="F1085" s="491">
        <v>0.54</v>
      </c>
      <c r="G1085" s="397" t="s">
        <v>3033</v>
      </c>
      <c r="H1085" s="389" t="s">
        <v>166</v>
      </c>
      <c r="I1085" s="398" t="s">
        <v>635</v>
      </c>
      <c r="J1085" s="399" t="s">
        <v>636</v>
      </c>
      <c r="K1085" s="394" t="str">
        <f t="shared" si="53"/>
        <v>XXX153830001XX</v>
      </c>
      <c r="L1085" s="391"/>
      <c r="M1085" s="398" t="s">
        <v>712</v>
      </c>
      <c r="N1085" s="399">
        <v>94508</v>
      </c>
      <c r="O1085" s="399" t="s">
        <v>2110</v>
      </c>
      <c r="P1085" s="398" t="s">
        <v>572</v>
      </c>
    </row>
    <row r="1086" spans="1:16" s="401" customFormat="1" ht="36">
      <c r="A1086" s="429">
        <f t="shared" si="52"/>
        <v>1083</v>
      </c>
      <c r="B1086" s="387">
        <v>46119</v>
      </c>
      <c r="C1086" s="388">
        <v>46082</v>
      </c>
      <c r="D1086" s="392" t="s">
        <v>248</v>
      </c>
      <c r="E1086" s="398" t="s">
        <v>592</v>
      </c>
      <c r="F1086" s="404">
        <v>1.05</v>
      </c>
      <c r="G1086" s="397" t="s">
        <v>3034</v>
      </c>
      <c r="H1086" s="392" t="s">
        <v>278</v>
      </c>
      <c r="I1086" s="398" t="s">
        <v>635</v>
      </c>
      <c r="J1086" s="399" t="s">
        <v>636</v>
      </c>
      <c r="K1086" s="394" t="str">
        <f t="shared" si="53"/>
        <v>XXX153830001XX</v>
      </c>
      <c r="L1086" s="391"/>
      <c r="M1086" s="398" t="s">
        <v>712</v>
      </c>
      <c r="N1086" s="399">
        <v>165</v>
      </c>
      <c r="O1086" s="399" t="s">
        <v>1542</v>
      </c>
      <c r="P1086" s="398" t="s">
        <v>574</v>
      </c>
    </row>
    <row r="1087" spans="1:16" s="401" customFormat="1" ht="36">
      <c r="A1087" s="429">
        <f t="shared" si="52"/>
        <v>1084</v>
      </c>
      <c r="B1087" s="387">
        <v>46120</v>
      </c>
      <c r="C1087" s="388">
        <v>46082</v>
      </c>
      <c r="D1087" s="392" t="s">
        <v>248</v>
      </c>
      <c r="E1087" s="398" t="s">
        <v>595</v>
      </c>
      <c r="F1087" s="404">
        <v>175</v>
      </c>
      <c r="G1087" s="397" t="s">
        <v>3035</v>
      </c>
      <c r="H1087" s="389" t="s">
        <v>738</v>
      </c>
      <c r="I1087" s="398" t="s">
        <v>635</v>
      </c>
      <c r="J1087" s="399" t="s">
        <v>636</v>
      </c>
      <c r="K1087" s="394" t="str">
        <f t="shared" si="53"/>
        <v>XXX153830001XX</v>
      </c>
      <c r="L1087" s="391"/>
      <c r="M1087" s="398" t="s">
        <v>712</v>
      </c>
      <c r="N1087" s="399">
        <v>20922</v>
      </c>
      <c r="O1087" s="399" t="s">
        <v>1522</v>
      </c>
      <c r="P1087" s="398" t="s">
        <v>868</v>
      </c>
    </row>
    <row r="1088" spans="1:16" s="401" customFormat="1" ht="36">
      <c r="A1088" s="429">
        <f t="shared" si="52"/>
        <v>1085</v>
      </c>
      <c r="B1088" s="387">
        <v>46119</v>
      </c>
      <c r="C1088" s="388">
        <v>46082</v>
      </c>
      <c r="D1088" s="392" t="s">
        <v>166</v>
      </c>
      <c r="E1088" s="398" t="s">
        <v>584</v>
      </c>
      <c r="F1088" s="491">
        <v>2.2200000000000002</v>
      </c>
      <c r="G1088" s="397" t="s">
        <v>3036</v>
      </c>
      <c r="H1088" s="389" t="s">
        <v>166</v>
      </c>
      <c r="I1088" s="398" t="s">
        <v>635</v>
      </c>
      <c r="J1088" s="399" t="s">
        <v>636</v>
      </c>
      <c r="K1088" s="394" t="str">
        <f t="shared" si="53"/>
        <v>XXX153830001XX</v>
      </c>
      <c r="L1088" s="391"/>
      <c r="M1088" s="398" t="s">
        <v>712</v>
      </c>
      <c r="N1088" s="399">
        <v>107624</v>
      </c>
      <c r="O1088" s="399" t="s">
        <v>2108</v>
      </c>
      <c r="P1088" s="398" t="s">
        <v>572</v>
      </c>
    </row>
    <row r="1089" spans="1:16" s="401" customFormat="1" ht="36">
      <c r="A1089" s="429">
        <f t="shared" si="52"/>
        <v>1086</v>
      </c>
      <c r="B1089" s="387">
        <v>46119</v>
      </c>
      <c r="C1089" s="388">
        <v>46082</v>
      </c>
      <c r="D1089" s="392" t="s">
        <v>166</v>
      </c>
      <c r="E1089" s="398" t="s">
        <v>581</v>
      </c>
      <c r="F1089" s="404">
        <v>21.88</v>
      </c>
      <c r="G1089" s="397" t="s">
        <v>3037</v>
      </c>
      <c r="H1089" s="389" t="s">
        <v>166</v>
      </c>
      <c r="I1089" s="398" t="s">
        <v>635</v>
      </c>
      <c r="J1089" s="399" t="s">
        <v>636</v>
      </c>
      <c r="K1089" s="394" t="str">
        <f t="shared" si="53"/>
        <v>XXX153830001XX</v>
      </c>
      <c r="L1089" s="391"/>
      <c r="M1089" s="398" t="s">
        <v>712</v>
      </c>
      <c r="N1089" s="399">
        <v>11191</v>
      </c>
      <c r="O1089" s="399" t="s">
        <v>1540</v>
      </c>
      <c r="P1089" s="398" t="s">
        <v>574</v>
      </c>
    </row>
    <row r="1090" spans="1:16" s="401" customFormat="1" ht="36">
      <c r="A1090" s="429">
        <f t="shared" si="52"/>
        <v>1087</v>
      </c>
      <c r="B1090" s="387">
        <v>46119</v>
      </c>
      <c r="C1090" s="388">
        <v>46082</v>
      </c>
      <c r="D1090" s="392" t="s">
        <v>166</v>
      </c>
      <c r="E1090" s="398" t="s">
        <v>581</v>
      </c>
      <c r="F1090" s="404">
        <v>15.61</v>
      </c>
      <c r="G1090" s="397" t="s">
        <v>3038</v>
      </c>
      <c r="H1090" s="389" t="s">
        <v>166</v>
      </c>
      <c r="I1090" s="398" t="s">
        <v>635</v>
      </c>
      <c r="J1090" s="399" t="s">
        <v>636</v>
      </c>
      <c r="K1090" s="394" t="str">
        <f t="shared" si="53"/>
        <v>XXX153830001XX</v>
      </c>
      <c r="L1090" s="403"/>
      <c r="M1090" s="398" t="s">
        <v>712</v>
      </c>
      <c r="N1090" s="399">
        <v>4382</v>
      </c>
      <c r="O1090" s="399" t="s">
        <v>1540</v>
      </c>
      <c r="P1090" s="398" t="s">
        <v>574</v>
      </c>
    </row>
    <row r="1091" spans="1:16" s="401" customFormat="1" ht="60">
      <c r="A1091" s="429">
        <f t="shared" si="52"/>
        <v>1088</v>
      </c>
      <c r="B1091" s="387">
        <v>46120</v>
      </c>
      <c r="C1091" s="388">
        <v>46082</v>
      </c>
      <c r="D1091" s="392" t="s">
        <v>248</v>
      </c>
      <c r="E1091" s="482" t="s">
        <v>78</v>
      </c>
      <c r="F1091" s="404">
        <v>42</v>
      </c>
      <c r="G1091" s="397" t="s">
        <v>3039</v>
      </c>
      <c r="H1091" s="389" t="s">
        <v>736</v>
      </c>
      <c r="I1091" s="398" t="s">
        <v>635</v>
      </c>
      <c r="J1091" s="399" t="s">
        <v>636</v>
      </c>
      <c r="K1091" s="394" t="str">
        <f t="shared" si="53"/>
        <v>XXX153830001XX</v>
      </c>
      <c r="L1091" s="391"/>
      <c r="M1091" s="398" t="s">
        <v>712</v>
      </c>
      <c r="N1091" s="399">
        <v>15</v>
      </c>
      <c r="O1091" s="399" t="s">
        <v>1538</v>
      </c>
      <c r="P1091" s="398" t="s">
        <v>868</v>
      </c>
    </row>
    <row r="1092" spans="1:16" s="401" customFormat="1" ht="48">
      <c r="A1092" s="429">
        <f t="shared" si="52"/>
        <v>1089</v>
      </c>
      <c r="B1092" s="387">
        <v>46120</v>
      </c>
      <c r="C1092" s="388">
        <v>46082</v>
      </c>
      <c r="D1092" s="392" t="s">
        <v>248</v>
      </c>
      <c r="E1092" s="398" t="s">
        <v>1550</v>
      </c>
      <c r="F1092" s="404">
        <v>29.82</v>
      </c>
      <c r="G1092" s="397" t="s">
        <v>3040</v>
      </c>
      <c r="H1092" s="389" t="s">
        <v>736</v>
      </c>
      <c r="I1092" s="398" t="s">
        <v>635</v>
      </c>
      <c r="J1092" s="399" t="s">
        <v>636</v>
      </c>
      <c r="K1092" s="394" t="str">
        <f t="shared" si="53"/>
        <v>XXX153830001XX</v>
      </c>
      <c r="L1092" s="391"/>
      <c r="M1092" s="398" t="s">
        <v>712</v>
      </c>
      <c r="N1092" s="399">
        <v>1203</v>
      </c>
      <c r="O1092" s="399" t="s">
        <v>1520</v>
      </c>
      <c r="P1092" s="398" t="s">
        <v>868</v>
      </c>
    </row>
    <row r="1093" spans="1:16" s="401" customFormat="1" ht="36">
      <c r="A1093" s="429">
        <f t="shared" si="52"/>
        <v>1090</v>
      </c>
      <c r="B1093" s="387">
        <v>46120</v>
      </c>
      <c r="C1093" s="388">
        <v>46054</v>
      </c>
      <c r="D1093" s="392" t="s">
        <v>248</v>
      </c>
      <c r="E1093" s="482" t="s">
        <v>455</v>
      </c>
      <c r="F1093" s="404">
        <v>3220.14</v>
      </c>
      <c r="G1093" s="397" t="s">
        <v>3041</v>
      </c>
      <c r="H1093" s="389" t="s">
        <v>738</v>
      </c>
      <c r="I1093" s="398" t="s">
        <v>635</v>
      </c>
      <c r="J1093" s="399" t="s">
        <v>636</v>
      </c>
      <c r="K1093" s="394" t="str">
        <f t="shared" si="53"/>
        <v>XXX153830001XX</v>
      </c>
      <c r="L1093" s="391"/>
      <c r="M1093" s="398" t="s">
        <v>712</v>
      </c>
      <c r="N1093" s="399">
        <v>249</v>
      </c>
      <c r="O1093" s="399" t="s">
        <v>1530</v>
      </c>
      <c r="P1093" s="398" t="s">
        <v>868</v>
      </c>
    </row>
    <row r="1094" spans="1:16" s="401" customFormat="1" ht="36">
      <c r="A1094" s="429">
        <f t="shared" si="52"/>
        <v>1091</v>
      </c>
      <c r="B1094" s="387">
        <v>46119</v>
      </c>
      <c r="C1094" s="388">
        <v>46082</v>
      </c>
      <c r="D1094" s="392" t="s">
        <v>353</v>
      </c>
      <c r="E1094" s="480" t="s">
        <v>153</v>
      </c>
      <c r="F1094" s="404">
        <v>70093.59</v>
      </c>
      <c r="G1094" s="397" t="s">
        <v>2323</v>
      </c>
      <c r="H1094" s="389" t="s">
        <v>280</v>
      </c>
      <c r="I1094" s="394" t="s">
        <v>744</v>
      </c>
      <c r="J1094" s="455">
        <v>7837375000150</v>
      </c>
      <c r="K1094" s="394" t="str">
        <f t="shared" si="53"/>
        <v>XXX737500015XX</v>
      </c>
      <c r="L1094" s="391"/>
      <c r="M1094" s="398" t="s">
        <v>707</v>
      </c>
      <c r="N1094" s="399">
        <v>32026</v>
      </c>
      <c r="O1094" s="399" t="s">
        <v>1543</v>
      </c>
      <c r="P1094" s="398" t="s">
        <v>574</v>
      </c>
    </row>
    <row r="1095" spans="1:16" s="401" customFormat="1" ht="40.5" customHeight="1">
      <c r="A1095" s="429">
        <f t="shared" si="52"/>
        <v>1092</v>
      </c>
      <c r="B1095" s="387">
        <v>46120</v>
      </c>
      <c r="C1095" s="388">
        <v>46082</v>
      </c>
      <c r="D1095" s="392" t="s">
        <v>132</v>
      </c>
      <c r="E1095" s="398" t="s">
        <v>1220</v>
      </c>
      <c r="F1095" s="404">
        <v>6.78</v>
      </c>
      <c r="G1095" s="397" t="s">
        <v>3042</v>
      </c>
      <c r="H1095" s="389" t="s">
        <v>736</v>
      </c>
      <c r="I1095" s="398" t="s">
        <v>635</v>
      </c>
      <c r="J1095" s="399" t="s">
        <v>636</v>
      </c>
      <c r="K1095" s="394" t="str">
        <f t="shared" si="53"/>
        <v>XXX153830001XX</v>
      </c>
      <c r="L1095" s="391"/>
      <c r="M1095" s="398" t="s">
        <v>712</v>
      </c>
      <c r="N1095" s="399">
        <v>703</v>
      </c>
      <c r="O1095" s="399" t="s">
        <v>1532</v>
      </c>
      <c r="P1095" s="398" t="s">
        <v>868</v>
      </c>
    </row>
    <row r="1096" spans="1:16" s="401" customFormat="1" ht="27.75" customHeight="1">
      <c r="A1096" s="429">
        <f t="shared" si="52"/>
        <v>1093</v>
      </c>
      <c r="B1096" s="387">
        <v>46119</v>
      </c>
      <c r="C1096" s="388">
        <v>46113</v>
      </c>
      <c r="D1096" s="392" t="s">
        <v>248</v>
      </c>
      <c r="E1096" s="398" t="s">
        <v>605</v>
      </c>
      <c r="F1096" s="404">
        <v>-0.02</v>
      </c>
      <c r="G1096" s="397" t="s">
        <v>2324</v>
      </c>
      <c r="H1096" s="389" t="s">
        <v>278</v>
      </c>
      <c r="I1096" s="398" t="s">
        <v>882</v>
      </c>
      <c r="J1096" s="399" t="s">
        <v>883</v>
      </c>
      <c r="K1096" s="394" t="str">
        <f t="shared" si="53"/>
        <v>XXX559250001XX</v>
      </c>
      <c r="L1096" s="391"/>
      <c r="M1096" s="398" t="s">
        <v>1207</v>
      </c>
      <c r="N1096" s="399">
        <v>2057887421</v>
      </c>
      <c r="O1096" s="399" t="s">
        <v>2089</v>
      </c>
      <c r="P1096" s="398" t="s">
        <v>574</v>
      </c>
    </row>
    <row r="1097" spans="1:16" s="401" customFormat="1" ht="36">
      <c r="A1097" s="429">
        <f t="shared" si="52"/>
        <v>1094</v>
      </c>
      <c r="B1097" s="387">
        <v>46119</v>
      </c>
      <c r="C1097" s="388">
        <v>46082</v>
      </c>
      <c r="D1097" s="392" t="s">
        <v>248</v>
      </c>
      <c r="E1097" s="398" t="s">
        <v>605</v>
      </c>
      <c r="F1097" s="404">
        <v>56692.98</v>
      </c>
      <c r="G1097" s="397" t="s">
        <v>2325</v>
      </c>
      <c r="H1097" s="389" t="s">
        <v>278</v>
      </c>
      <c r="I1097" s="398" t="s">
        <v>774</v>
      </c>
      <c r="J1097" s="399" t="s">
        <v>775</v>
      </c>
      <c r="K1097" s="394" t="str">
        <f t="shared" si="53"/>
        <v>XXX545540001XX</v>
      </c>
      <c r="L1097" s="391"/>
      <c r="M1097" s="398" t="s">
        <v>714</v>
      </c>
      <c r="N1097" s="399">
        <v>32026</v>
      </c>
      <c r="O1097" s="399" t="s">
        <v>1521</v>
      </c>
      <c r="P1097" s="398" t="s">
        <v>574</v>
      </c>
    </row>
    <row r="1098" spans="1:16" s="401" customFormat="1" ht="38.25" customHeight="1">
      <c r="A1098" s="429">
        <f t="shared" si="52"/>
        <v>1095</v>
      </c>
      <c r="B1098" s="387">
        <v>46119</v>
      </c>
      <c r="C1098" s="388">
        <v>46082</v>
      </c>
      <c r="D1098" s="392" t="s">
        <v>353</v>
      </c>
      <c r="E1098" s="480" t="s">
        <v>153</v>
      </c>
      <c r="F1098" s="404">
        <v>6059.48</v>
      </c>
      <c r="G1098" s="397" t="s">
        <v>2326</v>
      </c>
      <c r="H1098" s="389" t="s">
        <v>280</v>
      </c>
      <c r="I1098" s="394" t="s">
        <v>744</v>
      </c>
      <c r="J1098" s="455">
        <v>7837375000150</v>
      </c>
      <c r="K1098" s="394" t="str">
        <f t="shared" si="53"/>
        <v>XXX737500015XX</v>
      </c>
      <c r="L1098" s="391"/>
      <c r="M1098" s="398" t="s">
        <v>708</v>
      </c>
      <c r="N1098" s="399">
        <v>75148</v>
      </c>
      <c r="O1098" s="399" t="s">
        <v>1543</v>
      </c>
      <c r="P1098" s="398" t="s">
        <v>574</v>
      </c>
    </row>
    <row r="1099" spans="1:16" s="401" customFormat="1" ht="36">
      <c r="A1099" s="429">
        <f t="shared" si="52"/>
        <v>1096</v>
      </c>
      <c r="B1099" s="387">
        <v>46120</v>
      </c>
      <c r="C1099" s="388">
        <v>46113</v>
      </c>
      <c r="D1099" s="392" t="s">
        <v>248</v>
      </c>
      <c r="E1099" s="398" t="s">
        <v>829</v>
      </c>
      <c r="F1099" s="404">
        <v>168.13</v>
      </c>
      <c r="G1099" s="397" t="s">
        <v>2327</v>
      </c>
      <c r="H1099" s="392" t="s">
        <v>278</v>
      </c>
      <c r="I1099" s="398" t="s">
        <v>830</v>
      </c>
      <c r="J1099" s="399" t="s">
        <v>773</v>
      </c>
      <c r="K1099" s="394" t="str">
        <f t="shared" si="53"/>
        <v>XXX000000000XX</v>
      </c>
      <c r="L1099" s="391"/>
      <c r="M1099" s="398" t="s">
        <v>704</v>
      </c>
      <c r="N1099" s="399">
        <v>10121967</v>
      </c>
      <c r="O1099" s="399" t="s">
        <v>2094</v>
      </c>
      <c r="P1099" s="398" t="s">
        <v>868</v>
      </c>
    </row>
    <row r="1100" spans="1:16" s="401" customFormat="1" ht="36">
      <c r="A1100" s="429">
        <f t="shared" si="52"/>
        <v>1097</v>
      </c>
      <c r="B1100" s="387">
        <v>46119</v>
      </c>
      <c r="C1100" s="388">
        <v>46113</v>
      </c>
      <c r="D1100" s="392" t="s">
        <v>248</v>
      </c>
      <c r="E1100" s="482" t="s">
        <v>0</v>
      </c>
      <c r="F1100" s="491">
        <v>34</v>
      </c>
      <c r="G1100" s="397" t="s">
        <v>2328</v>
      </c>
      <c r="H1100" s="389" t="s">
        <v>278</v>
      </c>
      <c r="I1100" s="398" t="s">
        <v>2960</v>
      </c>
      <c r="J1100" s="399" t="s">
        <v>2961</v>
      </c>
      <c r="K1100" s="394" t="str">
        <f t="shared" si="53"/>
        <v>31.674.527/0001-25</v>
      </c>
      <c r="L1100" s="391"/>
      <c r="M1100" s="398" t="s">
        <v>710</v>
      </c>
      <c r="N1100" s="399">
        <v>9617</v>
      </c>
      <c r="O1100" s="399" t="s">
        <v>2093</v>
      </c>
      <c r="P1100" s="391" t="s">
        <v>2525</v>
      </c>
    </row>
    <row r="1101" spans="1:16" s="401" customFormat="1" ht="36">
      <c r="A1101" s="429">
        <f t="shared" si="52"/>
        <v>1098</v>
      </c>
      <c r="B1101" s="387">
        <v>46119</v>
      </c>
      <c r="C1101" s="388">
        <v>46113</v>
      </c>
      <c r="D1101" s="392" t="s">
        <v>248</v>
      </c>
      <c r="E1101" s="482" t="s">
        <v>87</v>
      </c>
      <c r="F1101" s="404">
        <v>353.98</v>
      </c>
      <c r="G1101" s="397" t="s">
        <v>3129</v>
      </c>
      <c r="H1101" s="389" t="s">
        <v>278</v>
      </c>
      <c r="I1101" s="398" t="s">
        <v>668</v>
      </c>
      <c r="J1101" s="399" t="s">
        <v>669</v>
      </c>
      <c r="K1101" s="394" t="str">
        <f t="shared" si="53"/>
        <v>XXX077460001XX</v>
      </c>
      <c r="L1101" s="391"/>
      <c r="M1101" s="398" t="s">
        <v>2258</v>
      </c>
      <c r="N1101" s="399">
        <v>582719842</v>
      </c>
      <c r="O1101" s="399" t="s">
        <v>2091</v>
      </c>
      <c r="P1101" s="398" t="s">
        <v>574</v>
      </c>
    </row>
    <row r="1102" spans="1:16" s="401" customFormat="1" ht="48">
      <c r="A1102" s="429">
        <f t="shared" si="52"/>
        <v>1099</v>
      </c>
      <c r="B1102" s="387">
        <v>46119</v>
      </c>
      <c r="C1102" s="388">
        <v>46113</v>
      </c>
      <c r="D1102" s="392" t="s">
        <v>248</v>
      </c>
      <c r="E1102" s="481" t="s">
        <v>169</v>
      </c>
      <c r="F1102" s="404">
        <v>330.38</v>
      </c>
      <c r="G1102" s="397" t="s">
        <v>3130</v>
      </c>
      <c r="H1102" s="389" t="s">
        <v>736</v>
      </c>
      <c r="I1102" s="398" t="s">
        <v>668</v>
      </c>
      <c r="J1102" s="399" t="s">
        <v>669</v>
      </c>
      <c r="K1102" s="394" t="str">
        <f t="shared" si="53"/>
        <v>XXX077460001XX</v>
      </c>
      <c r="L1102" s="391"/>
      <c r="M1102" s="398" t="s">
        <v>2258</v>
      </c>
      <c r="N1102" s="399">
        <v>582703703</v>
      </c>
      <c r="O1102" s="399" t="s">
        <v>2091</v>
      </c>
      <c r="P1102" s="398" t="s">
        <v>574</v>
      </c>
    </row>
    <row r="1103" spans="1:16" s="401" customFormat="1" ht="36">
      <c r="A1103" s="429">
        <f t="shared" si="52"/>
        <v>1100</v>
      </c>
      <c r="B1103" s="387">
        <v>46121</v>
      </c>
      <c r="C1103" s="388">
        <v>46082</v>
      </c>
      <c r="D1103" s="392" t="s">
        <v>248</v>
      </c>
      <c r="E1103" s="398" t="s">
        <v>597</v>
      </c>
      <c r="F1103" s="404">
        <v>480.3</v>
      </c>
      <c r="G1103" s="397" t="s">
        <v>2329</v>
      </c>
      <c r="H1103" s="392" t="s">
        <v>278</v>
      </c>
      <c r="I1103" s="398" t="s">
        <v>698</v>
      </c>
      <c r="J1103" s="399" t="s">
        <v>699</v>
      </c>
      <c r="K1103" s="394" t="str">
        <f t="shared" si="53"/>
        <v>XXX553420010XX</v>
      </c>
      <c r="L1103" s="391"/>
      <c r="M1103" s="398" t="s">
        <v>708</v>
      </c>
      <c r="N1103" s="399">
        <v>768803</v>
      </c>
      <c r="O1103" s="399" t="s">
        <v>1530</v>
      </c>
      <c r="P1103" s="398" t="s">
        <v>574</v>
      </c>
    </row>
    <row r="1104" spans="1:16" s="401" customFormat="1" ht="36">
      <c r="A1104" s="429">
        <f t="shared" si="52"/>
        <v>1101</v>
      </c>
      <c r="B1104" s="387">
        <v>46121</v>
      </c>
      <c r="C1104" s="388">
        <v>46082</v>
      </c>
      <c r="D1104" s="392" t="s">
        <v>248</v>
      </c>
      <c r="E1104" s="398" t="s">
        <v>592</v>
      </c>
      <c r="F1104" s="404">
        <v>279.64999999999998</v>
      </c>
      <c r="G1104" s="397" t="s">
        <v>2317</v>
      </c>
      <c r="H1104" s="389" t="s">
        <v>278</v>
      </c>
      <c r="I1104" s="398" t="s">
        <v>1107</v>
      </c>
      <c r="J1104" s="399" t="s">
        <v>1108</v>
      </c>
      <c r="K1104" s="394" t="str">
        <f t="shared" si="53"/>
        <v>XXX413890001XX</v>
      </c>
      <c r="L1104" s="391"/>
      <c r="M1104" s="398" t="s">
        <v>704</v>
      </c>
      <c r="N1104" s="399">
        <v>316</v>
      </c>
      <c r="O1104" s="399" t="s">
        <v>1530</v>
      </c>
      <c r="P1104" s="398" t="s">
        <v>574</v>
      </c>
    </row>
    <row r="1105" spans="1:16" s="401" customFormat="1" ht="230.25" customHeight="1">
      <c r="A1105" s="429">
        <f t="shared" ref="A1105:A1171" si="54">IF(B1105="","",ROW()-ROW($A$3))</f>
        <v>1102</v>
      </c>
      <c r="B1105" s="387">
        <v>46121</v>
      </c>
      <c r="C1105" s="388">
        <v>46082</v>
      </c>
      <c r="D1105" s="392" t="s">
        <v>248</v>
      </c>
      <c r="E1105" s="398" t="s">
        <v>607</v>
      </c>
      <c r="F1105" s="491">
        <v>4615.6099999999997</v>
      </c>
      <c r="G1105" s="397" t="s">
        <v>2330</v>
      </c>
      <c r="H1105" s="392" t="s">
        <v>278</v>
      </c>
      <c r="I1105" s="398" t="s">
        <v>2152</v>
      </c>
      <c r="J1105" s="399" t="s">
        <v>2153</v>
      </c>
      <c r="K1105" s="394" t="str">
        <f t="shared" si="53"/>
        <v>XXX90456683 XX</v>
      </c>
      <c r="L1105" s="391"/>
      <c r="M1105" s="398" t="s">
        <v>708</v>
      </c>
      <c r="N1105" s="399">
        <v>74787</v>
      </c>
      <c r="O1105" s="399" t="s">
        <v>1537</v>
      </c>
      <c r="P1105" s="398" t="s">
        <v>572</v>
      </c>
    </row>
    <row r="1106" spans="1:16" s="401" customFormat="1" ht="72">
      <c r="A1106" s="429">
        <f t="shared" si="54"/>
        <v>1103</v>
      </c>
      <c r="B1106" s="387">
        <v>46121</v>
      </c>
      <c r="C1106" s="388">
        <v>46113</v>
      </c>
      <c r="D1106" s="392" t="s">
        <v>248</v>
      </c>
      <c r="E1106" s="398" t="s">
        <v>608</v>
      </c>
      <c r="F1106" s="404">
        <v>664.2</v>
      </c>
      <c r="G1106" s="397" t="s">
        <v>1703</v>
      </c>
      <c r="H1106" s="392" t="s">
        <v>1029</v>
      </c>
      <c r="I1106" s="398" t="s">
        <v>645</v>
      </c>
      <c r="J1106" s="399" t="s">
        <v>646</v>
      </c>
      <c r="K1106" s="394" t="str">
        <f t="shared" si="53"/>
        <v>XXX460700001XX</v>
      </c>
      <c r="L1106" s="391"/>
      <c r="M1106" s="398" t="s">
        <v>708</v>
      </c>
      <c r="N1106" s="399">
        <v>2050</v>
      </c>
      <c r="O1106" s="399" t="s">
        <v>2089</v>
      </c>
      <c r="P1106" s="398" t="s">
        <v>574</v>
      </c>
    </row>
    <row r="1107" spans="1:16" s="401" customFormat="1" ht="48">
      <c r="A1107" s="429">
        <f t="shared" si="54"/>
        <v>1104</v>
      </c>
      <c r="B1107" s="387">
        <v>46121</v>
      </c>
      <c r="C1107" s="388">
        <v>46113</v>
      </c>
      <c r="D1107" s="392" t="s">
        <v>248</v>
      </c>
      <c r="E1107" s="398" t="s">
        <v>605</v>
      </c>
      <c r="F1107" s="404">
        <v>961.88</v>
      </c>
      <c r="G1107" s="397" t="s">
        <v>2331</v>
      </c>
      <c r="H1107" s="389" t="s">
        <v>278</v>
      </c>
      <c r="I1107" s="398" t="s">
        <v>1109</v>
      </c>
      <c r="J1107" s="399" t="s">
        <v>1110</v>
      </c>
      <c r="K1107" s="394" t="str">
        <f t="shared" si="53"/>
        <v>XXX375260001XX</v>
      </c>
      <c r="L1107" s="391"/>
      <c r="M1107" s="398" t="s">
        <v>708</v>
      </c>
      <c r="N1107" s="399">
        <v>1123</v>
      </c>
      <c r="O1107" s="399" t="s">
        <v>2089</v>
      </c>
      <c r="P1107" s="398" t="s">
        <v>574</v>
      </c>
    </row>
    <row r="1108" spans="1:16" s="401" customFormat="1" ht="36" customHeight="1">
      <c r="A1108" s="429">
        <f t="shared" si="54"/>
        <v>1105</v>
      </c>
      <c r="B1108" s="387">
        <v>46121</v>
      </c>
      <c r="C1108" s="388">
        <v>46113</v>
      </c>
      <c r="D1108" s="392" t="s">
        <v>248</v>
      </c>
      <c r="E1108" s="398" t="s">
        <v>599</v>
      </c>
      <c r="F1108" s="404">
        <v>4297.59</v>
      </c>
      <c r="G1108" s="397" t="s">
        <v>2332</v>
      </c>
      <c r="H1108" s="389" t="s">
        <v>736</v>
      </c>
      <c r="I1108" s="398" t="s">
        <v>1481</v>
      </c>
      <c r="J1108" s="399" t="s">
        <v>1482</v>
      </c>
      <c r="K1108" s="394" t="str">
        <f t="shared" si="53"/>
        <v>XXX582120001XX</v>
      </c>
      <c r="L1108" s="391"/>
      <c r="M1108" s="398" t="s">
        <v>707</v>
      </c>
      <c r="N1108" s="399">
        <v>31</v>
      </c>
      <c r="O1108" s="399" t="s">
        <v>2090</v>
      </c>
      <c r="P1108" s="398" t="s">
        <v>868</v>
      </c>
    </row>
    <row r="1109" spans="1:16" s="401" customFormat="1" ht="36">
      <c r="A1109" s="429">
        <f t="shared" si="54"/>
        <v>1106</v>
      </c>
      <c r="B1109" s="387">
        <v>46121</v>
      </c>
      <c r="C1109" s="388">
        <v>46113</v>
      </c>
      <c r="D1109" s="392" t="s">
        <v>248</v>
      </c>
      <c r="E1109" s="482" t="s">
        <v>78</v>
      </c>
      <c r="F1109" s="404">
        <v>523.71</v>
      </c>
      <c r="G1109" s="397" t="s">
        <v>2333</v>
      </c>
      <c r="H1109" s="392" t="s">
        <v>278</v>
      </c>
      <c r="I1109" s="398" t="s">
        <v>754</v>
      </c>
      <c r="J1109" s="399" t="s">
        <v>755</v>
      </c>
      <c r="K1109" s="394" t="str">
        <f t="shared" si="53"/>
        <v>XXX748510001XX</v>
      </c>
      <c r="L1109" s="391"/>
      <c r="M1109" s="398" t="s">
        <v>708</v>
      </c>
      <c r="N1109" s="399">
        <v>30</v>
      </c>
      <c r="O1109" s="399" t="s">
        <v>2090</v>
      </c>
      <c r="P1109" s="398" t="s">
        <v>574</v>
      </c>
    </row>
    <row r="1110" spans="1:16" s="401" customFormat="1" ht="36">
      <c r="A1110" s="429">
        <f t="shared" si="54"/>
        <v>1107</v>
      </c>
      <c r="B1110" s="387">
        <v>46121</v>
      </c>
      <c r="C1110" s="388">
        <v>46113</v>
      </c>
      <c r="D1110" s="392" t="s">
        <v>248</v>
      </c>
      <c r="E1110" s="482" t="s">
        <v>171</v>
      </c>
      <c r="F1110" s="404">
        <v>8105.75</v>
      </c>
      <c r="G1110" s="397" t="s">
        <v>2334</v>
      </c>
      <c r="H1110" s="389" t="s">
        <v>278</v>
      </c>
      <c r="I1110" s="398" t="s">
        <v>660</v>
      </c>
      <c r="J1110" s="399" t="s">
        <v>661</v>
      </c>
      <c r="K1110" s="394" t="str">
        <f t="shared" si="53"/>
        <v>XXX500340001XX</v>
      </c>
      <c r="L1110" s="391"/>
      <c r="M1110" s="398" t="s">
        <v>707</v>
      </c>
      <c r="N1110" s="399">
        <v>38</v>
      </c>
      <c r="O1110" s="399" t="s">
        <v>2090</v>
      </c>
      <c r="P1110" s="398" t="s">
        <v>868</v>
      </c>
    </row>
    <row r="1111" spans="1:16" s="401" customFormat="1" ht="36">
      <c r="A1111" s="429">
        <f t="shared" si="54"/>
        <v>1108</v>
      </c>
      <c r="B1111" s="387">
        <v>46121</v>
      </c>
      <c r="C1111" s="388">
        <v>46113</v>
      </c>
      <c r="D1111" s="392" t="s">
        <v>248</v>
      </c>
      <c r="E1111" s="398" t="s">
        <v>1551</v>
      </c>
      <c r="F1111" s="404">
        <v>995.68</v>
      </c>
      <c r="G1111" s="397" t="s">
        <v>2335</v>
      </c>
      <c r="H1111" s="389" t="s">
        <v>737</v>
      </c>
      <c r="I1111" s="398" t="s">
        <v>2154</v>
      </c>
      <c r="J1111" s="399" t="s">
        <v>2155</v>
      </c>
      <c r="K1111" s="394" t="str">
        <f t="shared" ref="K1111:K1135" si="55">IF(J1111="","",IF(LEN(J1111)&gt;14,IF(ISBLANK(J1111),"",J1111),REPLACE(REPLACE(J1111,1,3,"XXX"),13,2,"XX")))</f>
        <v>XXX543050001XX</v>
      </c>
      <c r="L1111" s="391"/>
      <c r="M1111" s="398" t="s">
        <v>707</v>
      </c>
      <c r="N1111" s="399">
        <v>19</v>
      </c>
      <c r="O1111" s="399" t="s">
        <v>2089</v>
      </c>
      <c r="P1111" s="398" t="s">
        <v>868</v>
      </c>
    </row>
    <row r="1112" spans="1:16" s="401" customFormat="1" ht="108">
      <c r="A1112" s="429">
        <f t="shared" si="54"/>
        <v>1109</v>
      </c>
      <c r="B1112" s="387">
        <v>46121</v>
      </c>
      <c r="C1112" s="388">
        <v>46113</v>
      </c>
      <c r="D1112" s="392" t="s">
        <v>248</v>
      </c>
      <c r="E1112" s="398" t="s">
        <v>610</v>
      </c>
      <c r="F1112" s="404">
        <v>5022.74</v>
      </c>
      <c r="G1112" s="397" t="s">
        <v>2336</v>
      </c>
      <c r="H1112" s="389" t="s">
        <v>736</v>
      </c>
      <c r="I1112" s="398" t="s">
        <v>686</v>
      </c>
      <c r="J1112" s="399" t="s">
        <v>687</v>
      </c>
      <c r="K1112" s="394" t="str">
        <f t="shared" si="55"/>
        <v>XXX900500001XX</v>
      </c>
      <c r="L1112" s="391"/>
      <c r="M1112" s="398" t="s">
        <v>708</v>
      </c>
      <c r="N1112" s="399">
        <v>37358</v>
      </c>
      <c r="O1112" s="399" t="s">
        <v>2089</v>
      </c>
      <c r="P1112" s="398" t="s">
        <v>574</v>
      </c>
    </row>
    <row r="1113" spans="1:16" s="401" customFormat="1" ht="48">
      <c r="A1113" s="429">
        <f t="shared" si="54"/>
        <v>1110</v>
      </c>
      <c r="B1113" s="387">
        <v>46121</v>
      </c>
      <c r="C1113" s="388">
        <v>46113</v>
      </c>
      <c r="D1113" s="392" t="s">
        <v>248</v>
      </c>
      <c r="E1113" s="60" t="s">
        <v>494</v>
      </c>
      <c r="F1113" s="404">
        <v>33991.57</v>
      </c>
      <c r="G1113" s="397" t="s">
        <v>1644</v>
      </c>
      <c r="H1113" s="389" t="s">
        <v>736</v>
      </c>
      <c r="I1113" s="398" t="s">
        <v>1455</v>
      </c>
      <c r="J1113" s="399" t="s">
        <v>1456</v>
      </c>
      <c r="K1113" s="394" t="str">
        <f t="shared" si="55"/>
        <v>XXX152670001XX</v>
      </c>
      <c r="L1113" s="391"/>
      <c r="M1113" s="398" t="s">
        <v>707</v>
      </c>
      <c r="N1113" s="399">
        <v>12</v>
      </c>
      <c r="O1113" s="399" t="s">
        <v>2090</v>
      </c>
      <c r="P1113" s="398" t="s">
        <v>868</v>
      </c>
    </row>
    <row r="1114" spans="1:16" s="401" customFormat="1" ht="36">
      <c r="A1114" s="429">
        <f t="shared" si="54"/>
        <v>1111</v>
      </c>
      <c r="B1114" s="387">
        <v>46121</v>
      </c>
      <c r="C1114" s="388">
        <v>46113</v>
      </c>
      <c r="D1114" s="392" t="s">
        <v>248</v>
      </c>
      <c r="E1114" s="398" t="s">
        <v>607</v>
      </c>
      <c r="F1114" s="491">
        <v>117</v>
      </c>
      <c r="G1114" s="397" t="s">
        <v>2337</v>
      </c>
      <c r="H1114" s="389" t="s">
        <v>278</v>
      </c>
      <c r="I1114" s="398" t="s">
        <v>1137</v>
      </c>
      <c r="J1114" s="399" t="s">
        <v>1138</v>
      </c>
      <c r="K1114" s="394" t="str">
        <f t="shared" si="55"/>
        <v>XXX46478649 XX</v>
      </c>
      <c r="L1114" s="391"/>
      <c r="M1114" s="398" t="s">
        <v>708</v>
      </c>
      <c r="N1114" s="399">
        <v>75040</v>
      </c>
      <c r="O1114" s="399" t="s">
        <v>2091</v>
      </c>
      <c r="P1114" s="398" t="s">
        <v>572</v>
      </c>
    </row>
    <row r="1115" spans="1:16" s="401" customFormat="1" ht="36">
      <c r="A1115" s="429">
        <f t="shared" si="54"/>
        <v>1112</v>
      </c>
      <c r="B1115" s="387">
        <v>46121</v>
      </c>
      <c r="C1115" s="388">
        <v>46054</v>
      </c>
      <c r="D1115" s="392" t="s">
        <v>248</v>
      </c>
      <c r="E1115" s="482" t="s">
        <v>455</v>
      </c>
      <c r="F1115" s="404">
        <v>50459.58</v>
      </c>
      <c r="G1115" s="397" t="s">
        <v>2322</v>
      </c>
      <c r="H1115" s="389" t="s">
        <v>738</v>
      </c>
      <c r="I1115" s="398" t="s">
        <v>1433</v>
      </c>
      <c r="J1115" s="399" t="s">
        <v>1434</v>
      </c>
      <c r="K1115" s="394" t="str">
        <f t="shared" si="55"/>
        <v>XXX981830001XX</v>
      </c>
      <c r="L1115" s="391"/>
      <c r="M1115" s="398" t="s">
        <v>707</v>
      </c>
      <c r="N1115" s="399">
        <v>249</v>
      </c>
      <c r="O1115" s="399" t="s">
        <v>1530</v>
      </c>
      <c r="P1115" s="398" t="s">
        <v>868</v>
      </c>
    </row>
    <row r="1116" spans="1:16" s="401" customFormat="1" ht="60">
      <c r="A1116" s="429">
        <f t="shared" si="54"/>
        <v>1113</v>
      </c>
      <c r="B1116" s="387">
        <v>46121</v>
      </c>
      <c r="C1116" s="388">
        <v>46113</v>
      </c>
      <c r="D1116" s="392" t="s">
        <v>248</v>
      </c>
      <c r="E1116" s="398" t="s">
        <v>596</v>
      </c>
      <c r="F1116" s="404">
        <v>1330</v>
      </c>
      <c r="G1116" s="397" t="s">
        <v>2338</v>
      </c>
      <c r="H1116" s="389" t="s">
        <v>737</v>
      </c>
      <c r="I1116" s="398" t="s">
        <v>662</v>
      </c>
      <c r="J1116" s="399" t="s">
        <v>663</v>
      </c>
      <c r="K1116" s="394" t="str">
        <f t="shared" si="55"/>
        <v>XXX901370001XX</v>
      </c>
      <c r="L1116" s="391"/>
      <c r="M1116" s="398" t="s">
        <v>708</v>
      </c>
      <c r="N1116" s="399">
        <v>392</v>
      </c>
      <c r="O1116" s="399" t="s">
        <v>2090</v>
      </c>
      <c r="P1116" s="398" t="s">
        <v>868</v>
      </c>
    </row>
    <row r="1117" spans="1:16" s="401" customFormat="1" ht="48">
      <c r="A1117" s="429">
        <f t="shared" si="54"/>
        <v>1114</v>
      </c>
      <c r="B1117" s="387">
        <v>46121</v>
      </c>
      <c r="C1117" s="388">
        <v>46082</v>
      </c>
      <c r="D1117" s="392" t="s">
        <v>248</v>
      </c>
      <c r="E1117" s="398" t="s">
        <v>610</v>
      </c>
      <c r="F1117" s="404">
        <v>1491.58</v>
      </c>
      <c r="G1117" s="397" t="s">
        <v>2279</v>
      </c>
      <c r="H1117" s="389" t="s">
        <v>736</v>
      </c>
      <c r="I1117" s="398" t="s">
        <v>686</v>
      </c>
      <c r="J1117" s="399" t="s">
        <v>687</v>
      </c>
      <c r="K1117" s="394" t="str">
        <f t="shared" si="55"/>
        <v>XXX900500001XX</v>
      </c>
      <c r="L1117" s="391"/>
      <c r="M1117" s="398" t="s">
        <v>719</v>
      </c>
      <c r="N1117" s="399">
        <v>37327</v>
      </c>
      <c r="O1117" s="399" t="s">
        <v>2109</v>
      </c>
      <c r="P1117" s="398" t="s">
        <v>868</v>
      </c>
    </row>
    <row r="1118" spans="1:16" s="401" customFormat="1" ht="72">
      <c r="A1118" s="429">
        <f t="shared" si="54"/>
        <v>1115</v>
      </c>
      <c r="B1118" s="387">
        <v>46121</v>
      </c>
      <c r="C1118" s="388">
        <v>46082</v>
      </c>
      <c r="D1118" s="392" t="s">
        <v>248</v>
      </c>
      <c r="E1118" s="398" t="s">
        <v>610</v>
      </c>
      <c r="F1118" s="404">
        <v>3166.9</v>
      </c>
      <c r="G1118" s="397" t="s">
        <v>2278</v>
      </c>
      <c r="H1118" s="389" t="s">
        <v>736</v>
      </c>
      <c r="I1118" s="398" t="s">
        <v>686</v>
      </c>
      <c r="J1118" s="399" t="s">
        <v>687</v>
      </c>
      <c r="K1118" s="394" t="str">
        <f t="shared" si="55"/>
        <v>XXX900500001XX</v>
      </c>
      <c r="L1118" s="391"/>
      <c r="M1118" s="398" t="s">
        <v>719</v>
      </c>
      <c r="N1118" s="399">
        <v>37326</v>
      </c>
      <c r="O1118" s="399" t="s">
        <v>2109</v>
      </c>
      <c r="P1118" s="398" t="s">
        <v>868</v>
      </c>
    </row>
    <row r="1119" spans="1:16" s="401" customFormat="1" ht="61.5" customHeight="1">
      <c r="A1119" s="429">
        <f t="shared" si="54"/>
        <v>1116</v>
      </c>
      <c r="B1119" s="387">
        <v>46121</v>
      </c>
      <c r="C1119" s="388">
        <v>46082</v>
      </c>
      <c r="D1119" s="392" t="s">
        <v>248</v>
      </c>
      <c r="E1119" s="398" t="s">
        <v>610</v>
      </c>
      <c r="F1119" s="404">
        <v>-1491.58</v>
      </c>
      <c r="G1119" s="397" t="s">
        <v>2279</v>
      </c>
      <c r="H1119" s="389" t="s">
        <v>736</v>
      </c>
      <c r="I1119" s="398" t="s">
        <v>686</v>
      </c>
      <c r="J1119" s="399" t="s">
        <v>687</v>
      </c>
      <c r="K1119" s="394" t="str">
        <f t="shared" si="55"/>
        <v>XXX900500001XX</v>
      </c>
      <c r="L1119" s="391"/>
      <c r="M1119" s="398" t="s">
        <v>1207</v>
      </c>
      <c r="N1119" s="399">
        <v>37327</v>
      </c>
      <c r="O1119" s="399" t="s">
        <v>2109</v>
      </c>
      <c r="P1119" s="398" t="s">
        <v>868</v>
      </c>
    </row>
    <row r="1120" spans="1:16" s="401" customFormat="1" ht="72">
      <c r="A1120" s="429">
        <f t="shared" si="54"/>
        <v>1117</v>
      </c>
      <c r="B1120" s="387">
        <v>46121</v>
      </c>
      <c r="C1120" s="388">
        <v>46082</v>
      </c>
      <c r="D1120" s="392" t="s">
        <v>248</v>
      </c>
      <c r="E1120" s="398" t="s">
        <v>610</v>
      </c>
      <c r="F1120" s="404">
        <v>-3166.9</v>
      </c>
      <c r="G1120" s="397" t="s">
        <v>2278</v>
      </c>
      <c r="H1120" s="389" t="s">
        <v>736</v>
      </c>
      <c r="I1120" s="398" t="s">
        <v>686</v>
      </c>
      <c r="J1120" s="399" t="s">
        <v>687</v>
      </c>
      <c r="K1120" s="394" t="str">
        <f t="shared" si="55"/>
        <v>XXX900500001XX</v>
      </c>
      <c r="L1120" s="391"/>
      <c r="M1120" s="398" t="s">
        <v>1207</v>
      </c>
      <c r="N1120" s="399">
        <v>37326</v>
      </c>
      <c r="O1120" s="399" t="s">
        <v>2109</v>
      </c>
      <c r="P1120" s="398" t="s">
        <v>868</v>
      </c>
    </row>
    <row r="1121" spans="1:16" s="401" customFormat="1" ht="36">
      <c r="A1121" s="429">
        <f t="shared" si="54"/>
        <v>1118</v>
      </c>
      <c r="B1121" s="387">
        <v>46121</v>
      </c>
      <c r="C1121" s="388">
        <v>46113</v>
      </c>
      <c r="D1121" s="392" t="s">
        <v>248</v>
      </c>
      <c r="E1121" s="398" t="s">
        <v>829</v>
      </c>
      <c r="F1121" s="404">
        <v>204.77</v>
      </c>
      <c r="G1121" s="397" t="s">
        <v>2327</v>
      </c>
      <c r="H1121" s="392" t="s">
        <v>278</v>
      </c>
      <c r="I1121" s="398" t="s">
        <v>830</v>
      </c>
      <c r="J1121" s="399" t="s">
        <v>773</v>
      </c>
      <c r="K1121" s="394" t="str">
        <f t="shared" si="55"/>
        <v>XXX000000000XX</v>
      </c>
      <c r="L1121" s="391"/>
      <c r="M1121" s="398" t="s">
        <v>704</v>
      </c>
      <c r="N1121" s="399">
        <v>32296</v>
      </c>
      <c r="O1121" s="399" t="s">
        <v>2092</v>
      </c>
      <c r="P1121" s="398" t="s">
        <v>574</v>
      </c>
    </row>
    <row r="1122" spans="1:16" s="401" customFormat="1" ht="36">
      <c r="A1122" s="429">
        <f t="shared" si="54"/>
        <v>1119</v>
      </c>
      <c r="B1122" s="387">
        <v>46121</v>
      </c>
      <c r="C1122" s="388">
        <v>46113</v>
      </c>
      <c r="D1122" s="392" t="s">
        <v>248</v>
      </c>
      <c r="E1122" s="398" t="s">
        <v>607</v>
      </c>
      <c r="F1122" s="491">
        <v>48.92</v>
      </c>
      <c r="G1122" s="397" t="s">
        <v>2339</v>
      </c>
      <c r="H1122" s="389" t="s">
        <v>736</v>
      </c>
      <c r="I1122" s="398" t="s">
        <v>2953</v>
      </c>
      <c r="J1122" s="399" t="s">
        <v>2954</v>
      </c>
      <c r="K1122" s="394" t="str">
        <f t="shared" si="55"/>
        <v>26.068.130/0003-11</v>
      </c>
      <c r="L1122" s="391"/>
      <c r="M1122" s="398" t="s">
        <v>710</v>
      </c>
      <c r="N1122" s="399">
        <v>287562</v>
      </c>
      <c r="O1122" s="399" t="s">
        <v>2094</v>
      </c>
      <c r="P1122" s="391" t="s">
        <v>2525</v>
      </c>
    </row>
    <row r="1123" spans="1:16" s="401" customFormat="1" ht="36">
      <c r="A1123" s="429">
        <f t="shared" si="54"/>
        <v>1120</v>
      </c>
      <c r="B1123" s="387">
        <v>46121</v>
      </c>
      <c r="C1123" s="388">
        <v>46113</v>
      </c>
      <c r="D1123" s="392" t="s">
        <v>248</v>
      </c>
      <c r="E1123" s="398" t="s">
        <v>597</v>
      </c>
      <c r="F1123" s="491">
        <v>6.99</v>
      </c>
      <c r="G1123" s="397" t="s">
        <v>2339</v>
      </c>
      <c r="H1123" s="389" t="s">
        <v>736</v>
      </c>
      <c r="I1123" s="398" t="s">
        <v>2953</v>
      </c>
      <c r="J1123" s="399" t="s">
        <v>2954</v>
      </c>
      <c r="K1123" s="394" t="str">
        <f t="shared" si="55"/>
        <v>26.068.130/0003-11</v>
      </c>
      <c r="L1123" s="391"/>
      <c r="M1123" s="398" t="s">
        <v>710</v>
      </c>
      <c r="N1123" s="399">
        <v>287562</v>
      </c>
      <c r="O1123" s="399" t="s">
        <v>2094</v>
      </c>
      <c r="P1123" s="391" t="s">
        <v>2525</v>
      </c>
    </row>
    <row r="1124" spans="1:16" s="401" customFormat="1" ht="36">
      <c r="A1124" s="429">
        <f t="shared" si="54"/>
        <v>1121</v>
      </c>
      <c r="B1124" s="387">
        <v>46121</v>
      </c>
      <c r="C1124" s="388">
        <v>46113</v>
      </c>
      <c r="D1124" s="392" t="s">
        <v>248</v>
      </c>
      <c r="E1124" s="398" t="s">
        <v>605</v>
      </c>
      <c r="F1124" s="491">
        <v>52.71</v>
      </c>
      <c r="G1124" s="397" t="s">
        <v>2339</v>
      </c>
      <c r="H1124" s="389" t="s">
        <v>278</v>
      </c>
      <c r="I1124" s="398" t="s">
        <v>2953</v>
      </c>
      <c r="J1124" s="399" t="s">
        <v>2954</v>
      </c>
      <c r="K1124" s="394" t="str">
        <f t="shared" si="55"/>
        <v>26.068.130/0003-11</v>
      </c>
      <c r="L1124" s="391"/>
      <c r="M1124" s="398" t="s">
        <v>710</v>
      </c>
      <c r="N1124" s="399">
        <v>287562</v>
      </c>
      <c r="O1124" s="399" t="s">
        <v>2094</v>
      </c>
      <c r="P1124" s="391" t="s">
        <v>2525</v>
      </c>
    </row>
    <row r="1125" spans="1:16" s="401" customFormat="1" ht="36">
      <c r="A1125" s="429">
        <f t="shared" si="54"/>
        <v>1122</v>
      </c>
      <c r="B1125" s="387">
        <v>46121</v>
      </c>
      <c r="C1125" s="388">
        <v>46113</v>
      </c>
      <c r="D1125" s="392" t="s">
        <v>353</v>
      </c>
      <c r="E1125" s="480" t="s">
        <v>153</v>
      </c>
      <c r="F1125" s="404">
        <v>25012.92</v>
      </c>
      <c r="G1125" s="397" t="s">
        <v>821</v>
      </c>
      <c r="H1125" s="389" t="s">
        <v>280</v>
      </c>
      <c r="I1125" s="394" t="s">
        <v>744</v>
      </c>
      <c r="J1125" s="455">
        <v>7837375000150</v>
      </c>
      <c r="K1125" s="394" t="str">
        <f t="shared" si="55"/>
        <v>XXX737500015XX</v>
      </c>
      <c r="L1125" s="391"/>
      <c r="M1125" s="398" t="s">
        <v>706</v>
      </c>
      <c r="N1125" s="399">
        <v>2057887423</v>
      </c>
      <c r="O1125" s="399" t="s">
        <v>2094</v>
      </c>
      <c r="P1125" s="398" t="s">
        <v>574</v>
      </c>
    </row>
    <row r="1126" spans="1:16" s="401" customFormat="1" ht="36">
      <c r="A1126" s="429">
        <f t="shared" si="54"/>
        <v>1123</v>
      </c>
      <c r="B1126" s="387">
        <v>46121</v>
      </c>
      <c r="C1126" s="388">
        <v>46082</v>
      </c>
      <c r="D1126" s="392" t="s">
        <v>353</v>
      </c>
      <c r="E1126" s="480" t="s">
        <v>334</v>
      </c>
      <c r="F1126" s="404">
        <v>7139.49</v>
      </c>
      <c r="G1126" s="397" t="s">
        <v>2340</v>
      </c>
      <c r="H1126" s="389" t="s">
        <v>280</v>
      </c>
      <c r="I1126" s="394" t="s">
        <v>744</v>
      </c>
      <c r="J1126" s="455">
        <v>7837375000150</v>
      </c>
      <c r="K1126" s="394" t="str">
        <f t="shared" si="55"/>
        <v>XXX737500015XX</v>
      </c>
      <c r="L1126" s="391"/>
      <c r="M1126" s="398" t="s">
        <v>707</v>
      </c>
      <c r="N1126" s="399">
        <v>32026</v>
      </c>
      <c r="O1126" s="399" t="s">
        <v>1521</v>
      </c>
      <c r="P1126" s="398" t="s">
        <v>574</v>
      </c>
    </row>
    <row r="1127" spans="1:16" s="401" customFormat="1" ht="48">
      <c r="A1127" s="429">
        <f t="shared" si="54"/>
        <v>1124</v>
      </c>
      <c r="B1127" s="387">
        <v>46121</v>
      </c>
      <c r="C1127" s="388">
        <v>46113</v>
      </c>
      <c r="D1127" s="392" t="s">
        <v>248</v>
      </c>
      <c r="E1127" s="398" t="s">
        <v>590</v>
      </c>
      <c r="F1127" s="404">
        <v>1537.87</v>
      </c>
      <c r="G1127" s="397" t="s">
        <v>3131</v>
      </c>
      <c r="H1127" s="389" t="s">
        <v>736</v>
      </c>
      <c r="I1127" s="398" t="s">
        <v>668</v>
      </c>
      <c r="J1127" s="399" t="s">
        <v>669</v>
      </c>
      <c r="K1127" s="394" t="str">
        <f t="shared" si="55"/>
        <v>XXX077460001XX</v>
      </c>
      <c r="L1127" s="391"/>
      <c r="M1127" s="398" t="s">
        <v>1204</v>
      </c>
      <c r="N1127" s="399">
        <v>58455514</v>
      </c>
      <c r="O1127" s="399" t="s">
        <v>2094</v>
      </c>
      <c r="P1127" s="398" t="s">
        <v>574</v>
      </c>
    </row>
    <row r="1128" spans="1:16" s="401" customFormat="1" ht="36">
      <c r="A1128" s="429">
        <f t="shared" si="54"/>
        <v>1125</v>
      </c>
      <c r="B1128" s="387">
        <v>46121</v>
      </c>
      <c r="C1128" s="388">
        <v>46113</v>
      </c>
      <c r="D1128" s="392" t="s">
        <v>248</v>
      </c>
      <c r="E1128" s="398" t="s">
        <v>590</v>
      </c>
      <c r="F1128" s="404">
        <v>8714.6200000000008</v>
      </c>
      <c r="G1128" s="397" t="s">
        <v>2341</v>
      </c>
      <c r="H1128" s="389" t="s">
        <v>736</v>
      </c>
      <c r="I1128" s="398" t="s">
        <v>1100</v>
      </c>
      <c r="J1128" s="399" t="s">
        <v>773</v>
      </c>
      <c r="K1128" s="394" t="str">
        <f t="shared" si="55"/>
        <v>XXX000000000XX</v>
      </c>
      <c r="L1128" s="391"/>
      <c r="M1128" s="398" t="s">
        <v>727</v>
      </c>
      <c r="N1128" s="399">
        <v>58455514</v>
      </c>
      <c r="O1128" s="399" t="s">
        <v>2094</v>
      </c>
      <c r="P1128" s="398" t="s">
        <v>574</v>
      </c>
    </row>
    <row r="1129" spans="1:16" s="401" customFormat="1" ht="36">
      <c r="A1129" s="429">
        <f t="shared" si="54"/>
        <v>1126</v>
      </c>
      <c r="B1129" s="387">
        <v>46121</v>
      </c>
      <c r="C1129" s="388">
        <v>46113</v>
      </c>
      <c r="D1129" s="392" t="s">
        <v>248</v>
      </c>
      <c r="E1129" s="398" t="s">
        <v>590</v>
      </c>
      <c r="F1129" s="404">
        <v>305.01</v>
      </c>
      <c r="G1129" s="397" t="s">
        <v>2341</v>
      </c>
      <c r="H1129" s="389" t="s">
        <v>736</v>
      </c>
      <c r="I1129" s="398" t="s">
        <v>690</v>
      </c>
      <c r="J1129" s="399" t="s">
        <v>691</v>
      </c>
      <c r="K1129" s="394" t="str">
        <f t="shared" si="55"/>
        <v>XXX011900001XX</v>
      </c>
      <c r="L1129" s="403"/>
      <c r="M1129" s="398" t="s">
        <v>1203</v>
      </c>
      <c r="N1129" s="399">
        <v>58455514</v>
      </c>
      <c r="O1129" s="399" t="s">
        <v>2094</v>
      </c>
      <c r="P1129" s="398" t="s">
        <v>574</v>
      </c>
    </row>
    <row r="1130" spans="1:16" s="401" customFormat="1" ht="48">
      <c r="A1130" s="429">
        <f t="shared" si="54"/>
        <v>1127</v>
      </c>
      <c r="B1130" s="387">
        <v>46121</v>
      </c>
      <c r="C1130" s="388">
        <v>46113</v>
      </c>
      <c r="D1130" s="392" t="s">
        <v>248</v>
      </c>
      <c r="E1130" s="482" t="s">
        <v>505</v>
      </c>
      <c r="F1130" s="404">
        <v>1300</v>
      </c>
      <c r="G1130" s="397" t="s">
        <v>2342</v>
      </c>
      <c r="H1130" s="389" t="s">
        <v>278</v>
      </c>
      <c r="I1130" s="398" t="s">
        <v>1472</v>
      </c>
      <c r="J1130" s="399" t="s">
        <v>1473</v>
      </c>
      <c r="K1130" s="394" t="str">
        <f t="shared" si="55"/>
        <v>XXX735210001XX</v>
      </c>
      <c r="L1130" s="403"/>
      <c r="M1130" s="398" t="s">
        <v>706</v>
      </c>
      <c r="N1130" s="399">
        <v>18543</v>
      </c>
      <c r="O1130" s="399" t="s">
        <v>2094</v>
      </c>
      <c r="P1130" s="398" t="s">
        <v>574</v>
      </c>
    </row>
    <row r="1131" spans="1:16" s="401" customFormat="1" ht="60">
      <c r="A1131" s="429">
        <f t="shared" si="54"/>
        <v>1128</v>
      </c>
      <c r="B1131" s="387">
        <v>46121</v>
      </c>
      <c r="C1131" s="388">
        <v>46113</v>
      </c>
      <c r="D1131" s="392" t="s">
        <v>248</v>
      </c>
      <c r="E1131" s="398" t="s">
        <v>597</v>
      </c>
      <c r="F1131" s="404">
        <v>800</v>
      </c>
      <c r="G1131" s="397" t="s">
        <v>2343</v>
      </c>
      <c r="H1131" s="389" t="s">
        <v>738</v>
      </c>
      <c r="I1131" s="398" t="s">
        <v>2156</v>
      </c>
      <c r="J1131" s="399" t="s">
        <v>2157</v>
      </c>
      <c r="K1131" s="394" t="str">
        <f t="shared" si="55"/>
        <v>XXX776730001XX</v>
      </c>
      <c r="L1131" s="391"/>
      <c r="M1131" s="398" t="s">
        <v>706</v>
      </c>
      <c r="N1131" s="399">
        <v>2057887431</v>
      </c>
      <c r="O1131" s="399" t="s">
        <v>2091</v>
      </c>
      <c r="P1131" s="398" t="s">
        <v>574</v>
      </c>
    </row>
    <row r="1132" spans="1:16" s="401" customFormat="1" ht="24">
      <c r="A1132" s="429">
        <f t="shared" si="54"/>
        <v>1129</v>
      </c>
      <c r="B1132" s="387">
        <v>46121</v>
      </c>
      <c r="C1132" s="388">
        <v>46113</v>
      </c>
      <c r="D1132" s="392" t="s">
        <v>166</v>
      </c>
      <c r="E1132" s="398" t="s">
        <v>586</v>
      </c>
      <c r="F1132" s="491">
        <v>-9.6</v>
      </c>
      <c r="G1132" s="397" t="s">
        <v>2344</v>
      </c>
      <c r="H1132" s="389" t="s">
        <v>166</v>
      </c>
      <c r="I1132" s="398" t="s">
        <v>1070</v>
      </c>
      <c r="J1132" s="399" t="s">
        <v>1071</v>
      </c>
      <c r="K1132" s="394" t="str">
        <f t="shared" si="55"/>
        <v>XXX97947651 XX</v>
      </c>
      <c r="L1132" s="403"/>
      <c r="M1132" s="398" t="s">
        <v>710</v>
      </c>
      <c r="N1132" s="399">
        <v>42026</v>
      </c>
      <c r="O1132" s="399" t="s">
        <v>2089</v>
      </c>
      <c r="P1132" s="391" t="s">
        <v>2525</v>
      </c>
    </row>
    <row r="1133" spans="1:16" s="401" customFormat="1" ht="24">
      <c r="A1133" s="429">
        <f t="shared" si="54"/>
        <v>1130</v>
      </c>
      <c r="B1133" s="387">
        <v>46121</v>
      </c>
      <c r="C1133" s="388">
        <v>46113</v>
      </c>
      <c r="D1133" s="392" t="s">
        <v>166</v>
      </c>
      <c r="E1133" s="398" t="s">
        <v>586</v>
      </c>
      <c r="F1133" s="491">
        <v>-13.56</v>
      </c>
      <c r="G1133" s="397" t="s">
        <v>2345</v>
      </c>
      <c r="H1133" s="389" t="s">
        <v>166</v>
      </c>
      <c r="I1133" s="398" t="s">
        <v>2158</v>
      </c>
      <c r="J1133" s="399" t="s">
        <v>2159</v>
      </c>
      <c r="K1133" s="394" t="str">
        <f t="shared" si="55"/>
        <v>XXX27260840 XX</v>
      </c>
      <c r="L1133" s="391"/>
      <c r="M1133" s="398" t="s">
        <v>710</v>
      </c>
      <c r="N1133" s="399">
        <v>42026</v>
      </c>
      <c r="O1133" s="399" t="s">
        <v>2089</v>
      </c>
      <c r="P1133" s="391" t="s">
        <v>2525</v>
      </c>
    </row>
    <row r="1134" spans="1:16" s="401" customFormat="1" ht="36">
      <c r="A1134" s="429">
        <f t="shared" si="54"/>
        <v>1131</v>
      </c>
      <c r="B1134" s="387">
        <v>46121</v>
      </c>
      <c r="C1134" s="388">
        <v>46113</v>
      </c>
      <c r="D1134" s="392" t="s">
        <v>353</v>
      </c>
      <c r="E1134" s="480" t="s">
        <v>153</v>
      </c>
      <c r="F1134" s="404">
        <v>83470.73</v>
      </c>
      <c r="G1134" s="397" t="s">
        <v>2346</v>
      </c>
      <c r="H1134" s="389" t="s">
        <v>280</v>
      </c>
      <c r="I1134" s="394" t="s">
        <v>744</v>
      </c>
      <c r="J1134" s="455">
        <v>7837375000150</v>
      </c>
      <c r="K1134" s="394" t="str">
        <f t="shared" si="55"/>
        <v>XXX737500015XX</v>
      </c>
      <c r="L1134" s="403"/>
      <c r="M1134" s="398" t="s">
        <v>726</v>
      </c>
      <c r="N1134" s="399">
        <v>1042026</v>
      </c>
      <c r="O1134" s="399" t="s">
        <v>2089</v>
      </c>
      <c r="P1134" s="398" t="s">
        <v>574</v>
      </c>
    </row>
    <row r="1135" spans="1:16" s="401" customFormat="1" ht="36">
      <c r="A1135" s="429">
        <f t="shared" si="54"/>
        <v>1132</v>
      </c>
      <c r="B1135" s="387">
        <v>46121</v>
      </c>
      <c r="C1135" s="388">
        <v>46113</v>
      </c>
      <c r="D1135" s="392" t="s">
        <v>353</v>
      </c>
      <c r="E1135" s="480" t="s">
        <v>153</v>
      </c>
      <c r="F1135" s="404">
        <v>86837.63</v>
      </c>
      <c r="G1135" s="397" t="s">
        <v>2347</v>
      </c>
      <c r="H1135" s="389" t="s">
        <v>280</v>
      </c>
      <c r="I1135" s="394" t="s">
        <v>744</v>
      </c>
      <c r="J1135" s="455">
        <v>7837375000150</v>
      </c>
      <c r="K1135" s="394" t="str">
        <f t="shared" si="55"/>
        <v>XXX737500015XX</v>
      </c>
      <c r="L1135" s="391"/>
      <c r="M1135" s="398" t="s">
        <v>726</v>
      </c>
      <c r="N1135" s="399">
        <v>3042026</v>
      </c>
      <c r="O1135" s="399" t="s">
        <v>2112</v>
      </c>
      <c r="P1135" s="398" t="s">
        <v>574</v>
      </c>
    </row>
    <row r="1136" spans="1:16" s="401" customFormat="1" ht="24" customHeight="1">
      <c r="A1136" s="429">
        <f t="shared" si="54"/>
        <v>1133</v>
      </c>
      <c r="B1136" s="387">
        <v>46121</v>
      </c>
      <c r="C1136" s="388">
        <v>46113</v>
      </c>
      <c r="D1136" s="392" t="s">
        <v>353</v>
      </c>
      <c r="E1136" s="480" t="s">
        <v>153</v>
      </c>
      <c r="F1136" s="404">
        <v>86257.13</v>
      </c>
      <c r="G1136" s="397" t="s">
        <v>2348</v>
      </c>
      <c r="H1136" s="389" t="s">
        <v>280</v>
      </c>
      <c r="I1136" s="394" t="s">
        <v>744</v>
      </c>
      <c r="J1136" s="455">
        <v>7837375000150</v>
      </c>
      <c r="K1136" s="390" t="str">
        <f t="shared" ref="K1136:K1170" si="56">IF(J1136="","",IF(LEN(J1136)&gt;14,IF(ISBLANK(J1136),"",J1136),REPLACE(REPLACE(J1136,1,3,"XXX"),13,2,"XX")))</f>
        <v>XXX737500015XX</v>
      </c>
      <c r="L1136" s="391"/>
      <c r="M1136" s="398" t="s">
        <v>726</v>
      </c>
      <c r="N1136" s="399">
        <v>2042026</v>
      </c>
      <c r="O1136" s="399" t="s">
        <v>2090</v>
      </c>
      <c r="P1136" s="398" t="s">
        <v>574</v>
      </c>
    </row>
    <row r="1137" spans="1:16" s="401" customFormat="1" ht="36">
      <c r="A1137" s="429">
        <f t="shared" si="54"/>
        <v>1134</v>
      </c>
      <c r="B1137" s="387">
        <v>46121</v>
      </c>
      <c r="C1137" s="388">
        <v>46113</v>
      </c>
      <c r="D1137" s="392" t="s">
        <v>353</v>
      </c>
      <c r="E1137" s="480" t="s">
        <v>153</v>
      </c>
      <c r="F1137" s="404">
        <v>50.92</v>
      </c>
      <c r="G1137" s="397" t="s">
        <v>2349</v>
      </c>
      <c r="H1137" s="389" t="s">
        <v>280</v>
      </c>
      <c r="I1137" s="394" t="s">
        <v>744</v>
      </c>
      <c r="J1137" s="455">
        <v>7837375000150</v>
      </c>
      <c r="K1137" s="390" t="str">
        <f t="shared" si="56"/>
        <v>XXX737500015XX</v>
      </c>
      <c r="L1137" s="391"/>
      <c r="M1137" s="398" t="s">
        <v>726</v>
      </c>
      <c r="N1137" s="399">
        <v>2042026</v>
      </c>
      <c r="O1137" s="399" t="s">
        <v>2090</v>
      </c>
      <c r="P1137" s="398" t="s">
        <v>574</v>
      </c>
    </row>
    <row r="1138" spans="1:16" s="401" customFormat="1" ht="36">
      <c r="A1138" s="429">
        <f t="shared" si="54"/>
        <v>1135</v>
      </c>
      <c r="B1138" s="387">
        <v>46122</v>
      </c>
      <c r="C1138" s="388">
        <v>46023</v>
      </c>
      <c r="D1138" s="389" t="s">
        <v>360</v>
      </c>
      <c r="E1138" s="389" t="s">
        <v>360</v>
      </c>
      <c r="F1138" s="491">
        <v>2015.56</v>
      </c>
      <c r="G1138" s="397" t="s">
        <v>2511</v>
      </c>
      <c r="H1138" s="389" t="s">
        <v>280</v>
      </c>
      <c r="I1138" s="394" t="s">
        <v>744</v>
      </c>
      <c r="J1138" s="455">
        <v>7837375000150</v>
      </c>
      <c r="K1138" s="390"/>
      <c r="L1138" s="391"/>
      <c r="M1138" s="398"/>
      <c r="N1138" s="399">
        <v>12026</v>
      </c>
      <c r="O1138" s="402">
        <v>46053</v>
      </c>
      <c r="P1138" s="398" t="s">
        <v>572</v>
      </c>
    </row>
    <row r="1139" spans="1:16" s="401" customFormat="1" ht="36">
      <c r="A1139" s="429">
        <f t="shared" si="54"/>
        <v>1136</v>
      </c>
      <c r="B1139" s="387">
        <v>46122</v>
      </c>
      <c r="C1139" s="388">
        <v>46054</v>
      </c>
      <c r="D1139" s="389" t="s">
        <v>360</v>
      </c>
      <c r="E1139" s="389" t="s">
        <v>360</v>
      </c>
      <c r="F1139" s="491">
        <v>6554.69</v>
      </c>
      <c r="G1139" s="397" t="s">
        <v>2512</v>
      </c>
      <c r="H1139" s="389" t="s">
        <v>280</v>
      </c>
      <c r="I1139" s="394" t="s">
        <v>744</v>
      </c>
      <c r="J1139" s="455">
        <v>7837375000150</v>
      </c>
      <c r="K1139" s="390"/>
      <c r="L1139" s="391"/>
      <c r="M1139" s="398"/>
      <c r="N1139" s="399">
        <v>22026</v>
      </c>
      <c r="O1139" s="402">
        <v>46081</v>
      </c>
      <c r="P1139" s="398" t="s">
        <v>572</v>
      </c>
    </row>
    <row r="1140" spans="1:16" s="401" customFormat="1" ht="36">
      <c r="A1140" s="429">
        <f t="shared" si="54"/>
        <v>1137</v>
      </c>
      <c r="B1140" s="387">
        <v>46122</v>
      </c>
      <c r="C1140" s="388">
        <v>46082</v>
      </c>
      <c r="D1140" s="389" t="s">
        <v>360</v>
      </c>
      <c r="E1140" s="389" t="s">
        <v>360</v>
      </c>
      <c r="F1140" s="491">
        <v>10809.61</v>
      </c>
      <c r="G1140" s="397" t="s">
        <v>2513</v>
      </c>
      <c r="H1140" s="389" t="s">
        <v>280</v>
      </c>
      <c r="I1140" s="394" t="s">
        <v>744</v>
      </c>
      <c r="J1140" s="455">
        <v>7837375000150</v>
      </c>
      <c r="K1140" s="390"/>
      <c r="L1140" s="391"/>
      <c r="M1140" s="398"/>
      <c r="N1140" s="399">
        <v>32026</v>
      </c>
      <c r="O1140" s="402">
        <v>46112</v>
      </c>
      <c r="P1140" s="398" t="s">
        <v>572</v>
      </c>
    </row>
    <row r="1141" spans="1:16" s="401" customFormat="1" ht="36">
      <c r="A1141" s="429">
        <f t="shared" si="54"/>
        <v>1138</v>
      </c>
      <c r="B1141" s="387">
        <v>46122</v>
      </c>
      <c r="C1141" s="388">
        <v>46082</v>
      </c>
      <c r="D1141" s="392" t="s">
        <v>248</v>
      </c>
      <c r="E1141" s="398" t="s">
        <v>592</v>
      </c>
      <c r="F1141" s="404">
        <v>572.29999999999995</v>
      </c>
      <c r="G1141" s="397" t="s">
        <v>2318</v>
      </c>
      <c r="H1141" s="389" t="s">
        <v>1418</v>
      </c>
      <c r="I1141" s="398" t="s">
        <v>1153</v>
      </c>
      <c r="J1141" s="399" t="s">
        <v>1154</v>
      </c>
      <c r="K1141" s="390" t="str">
        <f t="shared" si="56"/>
        <v>XXX144740001XX</v>
      </c>
      <c r="L1141" s="391"/>
      <c r="M1141" s="398" t="s">
        <v>708</v>
      </c>
      <c r="N1141" s="399">
        <v>511</v>
      </c>
      <c r="O1141" s="399" t="s">
        <v>1536</v>
      </c>
      <c r="P1141" s="398" t="s">
        <v>574</v>
      </c>
    </row>
    <row r="1142" spans="1:16" s="401" customFormat="1" ht="84">
      <c r="A1142" s="429">
        <f t="shared" si="54"/>
        <v>1139</v>
      </c>
      <c r="B1142" s="387">
        <v>46122</v>
      </c>
      <c r="C1142" s="388">
        <v>46082</v>
      </c>
      <c r="D1142" s="392" t="s">
        <v>248</v>
      </c>
      <c r="E1142" s="481" t="s">
        <v>170</v>
      </c>
      <c r="F1142" s="404">
        <v>1610.83</v>
      </c>
      <c r="G1142" s="397" t="s">
        <v>2350</v>
      </c>
      <c r="H1142" s="392" t="s">
        <v>278</v>
      </c>
      <c r="I1142" s="398" t="s">
        <v>803</v>
      </c>
      <c r="J1142" s="399" t="s">
        <v>804</v>
      </c>
      <c r="K1142" s="390" t="str">
        <f t="shared" si="56"/>
        <v>XXX105090013XX</v>
      </c>
      <c r="L1142" s="391"/>
      <c r="M1142" s="398" t="s">
        <v>704</v>
      </c>
      <c r="N1142" s="399">
        <v>259061</v>
      </c>
      <c r="O1142" s="399" t="s">
        <v>2113</v>
      </c>
      <c r="P1142" s="398" t="s">
        <v>574</v>
      </c>
    </row>
    <row r="1143" spans="1:16" s="401" customFormat="1" ht="36">
      <c r="A1143" s="429">
        <f t="shared" si="54"/>
        <v>1140</v>
      </c>
      <c r="B1143" s="387">
        <v>46122</v>
      </c>
      <c r="C1143" s="388">
        <v>46053</v>
      </c>
      <c r="D1143" s="389" t="s">
        <v>360</v>
      </c>
      <c r="E1143" s="389" t="s">
        <v>360</v>
      </c>
      <c r="F1143" s="404">
        <v>11232.59</v>
      </c>
      <c r="G1143" s="397" t="s">
        <v>2515</v>
      </c>
      <c r="H1143" s="389" t="s">
        <v>280</v>
      </c>
      <c r="I1143" s="394" t="s">
        <v>744</v>
      </c>
      <c r="J1143" s="455">
        <v>7837375000150</v>
      </c>
      <c r="K1143" s="390"/>
      <c r="L1143" s="391"/>
      <c r="M1143" s="398"/>
      <c r="N1143" s="399">
        <v>12026</v>
      </c>
      <c r="O1143" s="402">
        <v>46053</v>
      </c>
      <c r="P1143" s="398" t="s">
        <v>574</v>
      </c>
    </row>
    <row r="1144" spans="1:16" s="401" customFormat="1" ht="36">
      <c r="A1144" s="429">
        <f t="shared" si="54"/>
        <v>1141</v>
      </c>
      <c r="B1144" s="387">
        <v>46122</v>
      </c>
      <c r="C1144" s="388">
        <v>46081</v>
      </c>
      <c r="D1144" s="389" t="s">
        <v>360</v>
      </c>
      <c r="E1144" s="389" t="s">
        <v>360</v>
      </c>
      <c r="F1144" s="404">
        <v>2735.55</v>
      </c>
      <c r="G1144" s="397" t="s">
        <v>2516</v>
      </c>
      <c r="H1144" s="389" t="s">
        <v>280</v>
      </c>
      <c r="I1144" s="394" t="s">
        <v>744</v>
      </c>
      <c r="J1144" s="455">
        <v>7837375000150</v>
      </c>
      <c r="K1144" s="390"/>
      <c r="L1144" s="391"/>
      <c r="M1144" s="398"/>
      <c r="N1144" s="399">
        <v>22026</v>
      </c>
      <c r="O1144" s="402">
        <v>46081</v>
      </c>
      <c r="P1144" s="398" t="s">
        <v>574</v>
      </c>
    </row>
    <row r="1145" spans="1:16" s="401" customFormat="1" ht="36">
      <c r="A1145" s="429">
        <f t="shared" si="54"/>
        <v>1142</v>
      </c>
      <c r="B1145" s="387">
        <v>46122</v>
      </c>
      <c r="C1145" s="388">
        <v>46112</v>
      </c>
      <c r="D1145" s="389" t="s">
        <v>360</v>
      </c>
      <c r="E1145" s="389" t="s">
        <v>360</v>
      </c>
      <c r="F1145" s="404">
        <v>1519.74</v>
      </c>
      <c r="G1145" s="397" t="s">
        <v>2517</v>
      </c>
      <c r="H1145" s="389" t="s">
        <v>280</v>
      </c>
      <c r="I1145" s="394" t="s">
        <v>744</v>
      </c>
      <c r="J1145" s="455">
        <v>7837375000150</v>
      </c>
      <c r="K1145" s="390"/>
      <c r="L1145" s="391"/>
      <c r="M1145" s="398"/>
      <c r="N1145" s="399">
        <v>32026</v>
      </c>
      <c r="O1145" s="402">
        <v>46112</v>
      </c>
      <c r="P1145" s="398" t="s">
        <v>574</v>
      </c>
    </row>
    <row r="1146" spans="1:16" s="401" customFormat="1" ht="84">
      <c r="A1146" s="429">
        <f t="shared" si="54"/>
        <v>1143</v>
      </c>
      <c r="B1146" s="387">
        <v>46122</v>
      </c>
      <c r="C1146" s="388">
        <v>46082</v>
      </c>
      <c r="D1146" s="392" t="s">
        <v>248</v>
      </c>
      <c r="E1146" s="481" t="s">
        <v>170</v>
      </c>
      <c r="F1146" s="404">
        <v>555.45000000000005</v>
      </c>
      <c r="G1146" s="397" t="s">
        <v>2350</v>
      </c>
      <c r="H1146" s="392" t="s">
        <v>278</v>
      </c>
      <c r="I1146" s="398" t="s">
        <v>803</v>
      </c>
      <c r="J1146" s="399" t="s">
        <v>804</v>
      </c>
      <c r="K1146" s="390" t="str">
        <f t="shared" si="56"/>
        <v>XXX105090013XX</v>
      </c>
      <c r="L1146" s="391"/>
      <c r="M1146" s="398" t="s">
        <v>913</v>
      </c>
      <c r="N1146" s="399">
        <v>259060</v>
      </c>
      <c r="O1146" s="399" t="s">
        <v>2113</v>
      </c>
      <c r="P1146" s="398" t="s">
        <v>574</v>
      </c>
    </row>
    <row r="1147" spans="1:16" s="401" customFormat="1" ht="48">
      <c r="A1147" s="429">
        <f t="shared" si="54"/>
        <v>1144</v>
      </c>
      <c r="B1147" s="387">
        <v>46122</v>
      </c>
      <c r="C1147" s="388">
        <v>46082</v>
      </c>
      <c r="D1147" s="392" t="s">
        <v>248</v>
      </c>
      <c r="E1147" s="398" t="s">
        <v>1216</v>
      </c>
      <c r="F1147" s="404">
        <v>2159.34</v>
      </c>
      <c r="G1147" s="397" t="s">
        <v>2351</v>
      </c>
      <c r="H1147" s="389" t="s">
        <v>278</v>
      </c>
      <c r="I1147" s="398" t="s">
        <v>1127</v>
      </c>
      <c r="J1147" s="399" t="s">
        <v>1128</v>
      </c>
      <c r="K1147" s="390" t="str">
        <f t="shared" si="56"/>
        <v>XXX254870001XX</v>
      </c>
      <c r="L1147" s="391"/>
      <c r="M1147" s="398" t="s">
        <v>704</v>
      </c>
      <c r="N1147" s="399">
        <v>53169</v>
      </c>
      <c r="O1147" s="399" t="s">
        <v>2109</v>
      </c>
      <c r="P1147" s="398" t="s">
        <v>868</v>
      </c>
    </row>
    <row r="1148" spans="1:16" s="401" customFormat="1" ht="48">
      <c r="A1148" s="429">
        <f t="shared" si="54"/>
        <v>1145</v>
      </c>
      <c r="B1148" s="387">
        <v>46122</v>
      </c>
      <c r="C1148" s="388">
        <v>46113</v>
      </c>
      <c r="D1148" s="392" t="s">
        <v>248</v>
      </c>
      <c r="E1148" s="482" t="s">
        <v>78</v>
      </c>
      <c r="F1148" s="404">
        <v>700</v>
      </c>
      <c r="G1148" s="397" t="s">
        <v>2352</v>
      </c>
      <c r="H1148" s="389" t="s">
        <v>737</v>
      </c>
      <c r="I1148" s="398" t="s">
        <v>2160</v>
      </c>
      <c r="J1148" s="399" t="s">
        <v>2161</v>
      </c>
      <c r="K1148" s="390" t="str">
        <f t="shared" si="56"/>
        <v>XXX450660001XX</v>
      </c>
      <c r="L1148" s="391"/>
      <c r="M1148" s="398" t="s">
        <v>719</v>
      </c>
      <c r="N1148" s="399">
        <v>21</v>
      </c>
      <c r="O1148" s="399" t="s">
        <v>2090</v>
      </c>
      <c r="P1148" s="398" t="s">
        <v>868</v>
      </c>
    </row>
    <row r="1149" spans="1:16" s="401" customFormat="1" ht="56.25" customHeight="1">
      <c r="A1149" s="429">
        <f t="shared" si="54"/>
        <v>1146</v>
      </c>
      <c r="B1149" s="387">
        <v>46122</v>
      </c>
      <c r="C1149" s="388">
        <v>46113</v>
      </c>
      <c r="D1149" s="392" t="s">
        <v>248</v>
      </c>
      <c r="E1149" s="481" t="s">
        <v>170</v>
      </c>
      <c r="F1149" s="404">
        <v>599.62</v>
      </c>
      <c r="G1149" s="397" t="s">
        <v>2353</v>
      </c>
      <c r="H1149" s="392" t="s">
        <v>278</v>
      </c>
      <c r="I1149" s="398" t="s">
        <v>651</v>
      </c>
      <c r="J1149" s="399" t="s">
        <v>652</v>
      </c>
      <c r="K1149" s="390" t="str">
        <f t="shared" si="56"/>
        <v>XXX778580001XX</v>
      </c>
      <c r="L1149" s="391"/>
      <c r="M1149" s="398" t="s">
        <v>704</v>
      </c>
      <c r="N1149" s="399">
        <v>852</v>
      </c>
      <c r="O1149" s="399" t="s">
        <v>2089</v>
      </c>
      <c r="P1149" s="398" t="s">
        <v>574</v>
      </c>
    </row>
    <row r="1150" spans="1:16" s="401" customFormat="1" ht="139.5" customHeight="1">
      <c r="A1150" s="429">
        <f t="shared" si="54"/>
        <v>1147</v>
      </c>
      <c r="B1150" s="387">
        <v>46122</v>
      </c>
      <c r="C1150" s="388">
        <v>46113</v>
      </c>
      <c r="D1150" s="392" t="s">
        <v>248</v>
      </c>
      <c r="E1150" s="398" t="s">
        <v>582</v>
      </c>
      <c r="F1150" s="404">
        <v>2879.04</v>
      </c>
      <c r="G1150" s="397" t="s">
        <v>2354</v>
      </c>
      <c r="H1150" s="389" t="s">
        <v>1029</v>
      </c>
      <c r="I1150" s="398" t="s">
        <v>1450</v>
      </c>
      <c r="J1150" s="399" t="s">
        <v>1451</v>
      </c>
      <c r="K1150" s="390" t="str">
        <f t="shared" si="56"/>
        <v>XXX217840001XX</v>
      </c>
      <c r="L1150" s="391"/>
      <c r="M1150" s="398" t="s">
        <v>704</v>
      </c>
      <c r="N1150" s="399">
        <v>186885</v>
      </c>
      <c r="O1150" s="399" t="s">
        <v>2114</v>
      </c>
      <c r="P1150" s="398" t="s">
        <v>574</v>
      </c>
    </row>
    <row r="1151" spans="1:16" s="401" customFormat="1" ht="36">
      <c r="A1151" s="429">
        <f t="shared" si="54"/>
        <v>1148</v>
      </c>
      <c r="B1151" s="387">
        <v>46122</v>
      </c>
      <c r="C1151" s="388">
        <v>46082</v>
      </c>
      <c r="D1151" s="392" t="s">
        <v>248</v>
      </c>
      <c r="E1151" s="481" t="s">
        <v>167</v>
      </c>
      <c r="F1151" s="404">
        <v>137.9</v>
      </c>
      <c r="G1151" s="397" t="s">
        <v>2355</v>
      </c>
      <c r="H1151" s="389" t="s">
        <v>278</v>
      </c>
      <c r="I1151" s="398" t="s">
        <v>639</v>
      </c>
      <c r="J1151" s="399" t="s">
        <v>640</v>
      </c>
      <c r="K1151" s="390" t="str">
        <f t="shared" si="56"/>
        <v>XXX702290021XX</v>
      </c>
      <c r="L1151" s="391"/>
      <c r="M1151" s="398" t="s">
        <v>717</v>
      </c>
      <c r="N1151" s="399">
        <v>96766</v>
      </c>
      <c r="O1151" s="399" t="s">
        <v>2115</v>
      </c>
      <c r="P1151" s="398" t="s">
        <v>574</v>
      </c>
    </row>
    <row r="1152" spans="1:16" s="401" customFormat="1" ht="36">
      <c r="A1152" s="429">
        <f t="shared" si="54"/>
        <v>1149</v>
      </c>
      <c r="B1152" s="387">
        <v>46122</v>
      </c>
      <c r="C1152" s="388">
        <v>46113</v>
      </c>
      <c r="D1152" s="392" t="s">
        <v>353</v>
      </c>
      <c r="E1152" s="480" t="s">
        <v>334</v>
      </c>
      <c r="F1152" s="404">
        <v>250</v>
      </c>
      <c r="G1152" s="397" t="s">
        <v>2356</v>
      </c>
      <c r="H1152" s="389" t="s">
        <v>280</v>
      </c>
      <c r="I1152" s="394" t="s">
        <v>744</v>
      </c>
      <c r="J1152" s="455">
        <v>7837375000150</v>
      </c>
      <c r="K1152" s="390" t="str">
        <f t="shared" si="56"/>
        <v>XXX737500015XX</v>
      </c>
      <c r="L1152" s="391"/>
      <c r="M1152" s="398" t="s">
        <v>708</v>
      </c>
      <c r="N1152" s="399">
        <v>32026</v>
      </c>
      <c r="O1152" s="399" t="s">
        <v>2095</v>
      </c>
      <c r="P1152" s="398" t="s">
        <v>574</v>
      </c>
    </row>
    <row r="1153" spans="1:16" s="401" customFormat="1" ht="48">
      <c r="A1153" s="429">
        <f t="shared" si="54"/>
        <v>1150</v>
      </c>
      <c r="B1153" s="387">
        <v>46122</v>
      </c>
      <c r="C1153" s="388">
        <v>46082</v>
      </c>
      <c r="D1153" s="392" t="s">
        <v>132</v>
      </c>
      <c r="E1153" s="398" t="s">
        <v>1220</v>
      </c>
      <c r="F1153" s="404">
        <v>-6.78</v>
      </c>
      <c r="G1153" s="397" t="s">
        <v>2357</v>
      </c>
      <c r="H1153" s="389" t="s">
        <v>736</v>
      </c>
      <c r="I1153" s="398" t="s">
        <v>1493</v>
      </c>
      <c r="J1153" s="399" t="s">
        <v>1494</v>
      </c>
      <c r="K1153" s="390" t="str">
        <f t="shared" si="56"/>
        <v>XXX621330001XX</v>
      </c>
      <c r="L1153" s="391"/>
      <c r="M1153" s="398" t="s">
        <v>1207</v>
      </c>
      <c r="N1153" s="399">
        <v>703</v>
      </c>
      <c r="O1153" s="399" t="s">
        <v>1543</v>
      </c>
      <c r="P1153" s="398" t="s">
        <v>868</v>
      </c>
    </row>
    <row r="1154" spans="1:16" s="401" customFormat="1" ht="46.5" customHeight="1">
      <c r="A1154" s="429">
        <f t="shared" si="54"/>
        <v>1151</v>
      </c>
      <c r="B1154" s="387">
        <v>46122</v>
      </c>
      <c r="C1154" s="388">
        <v>46082</v>
      </c>
      <c r="D1154" s="392" t="s">
        <v>166</v>
      </c>
      <c r="E1154" s="480" t="s">
        <v>231</v>
      </c>
      <c r="F1154" s="404">
        <v>487.5</v>
      </c>
      <c r="G1154" s="397" t="s">
        <v>2358</v>
      </c>
      <c r="H1154" s="389" t="s">
        <v>166</v>
      </c>
      <c r="I1154" s="398" t="s">
        <v>2162</v>
      </c>
      <c r="J1154" s="399" t="s">
        <v>2163</v>
      </c>
      <c r="K1154" s="390" t="str">
        <f t="shared" si="56"/>
        <v>XXX76382724 XX</v>
      </c>
      <c r="L1154" s="391"/>
      <c r="M1154" s="398" t="s">
        <v>708</v>
      </c>
      <c r="N1154" s="399">
        <v>75190</v>
      </c>
      <c r="O1154" s="399" t="s">
        <v>1543</v>
      </c>
      <c r="P1154" s="398" t="s">
        <v>574</v>
      </c>
    </row>
    <row r="1155" spans="1:16" s="401" customFormat="1" ht="24">
      <c r="A1155" s="429">
        <f t="shared" si="54"/>
        <v>1152</v>
      </c>
      <c r="B1155" s="387">
        <v>46122</v>
      </c>
      <c r="C1155" s="388">
        <v>46113</v>
      </c>
      <c r="D1155" s="392" t="s">
        <v>166</v>
      </c>
      <c r="E1155" s="398" t="s">
        <v>583</v>
      </c>
      <c r="F1155" s="491">
        <v>7601.32</v>
      </c>
      <c r="G1155" s="397" t="s">
        <v>2359</v>
      </c>
      <c r="H1155" s="389" t="s">
        <v>166</v>
      </c>
      <c r="I1155" s="398" t="s">
        <v>2152</v>
      </c>
      <c r="J1155" s="399" t="s">
        <v>2153</v>
      </c>
      <c r="K1155" s="390" t="str">
        <f t="shared" si="56"/>
        <v>XXX90456683 XX</v>
      </c>
      <c r="L1155" s="391"/>
      <c r="M1155" s="398" t="s">
        <v>705</v>
      </c>
      <c r="N1155" s="399">
        <v>733</v>
      </c>
      <c r="O1155" s="399" t="s">
        <v>2089</v>
      </c>
      <c r="P1155" s="398" t="s">
        <v>573</v>
      </c>
    </row>
    <row r="1156" spans="1:16" s="401" customFormat="1" ht="48">
      <c r="A1156" s="429">
        <f t="shared" si="54"/>
        <v>1153</v>
      </c>
      <c r="B1156" s="387">
        <v>46122</v>
      </c>
      <c r="C1156" s="388">
        <v>46082</v>
      </c>
      <c r="D1156" s="392" t="s">
        <v>166</v>
      </c>
      <c r="E1156" s="480" t="s">
        <v>231</v>
      </c>
      <c r="F1156" s="404">
        <v>487.5</v>
      </c>
      <c r="G1156" s="397" t="s">
        <v>2360</v>
      </c>
      <c r="H1156" s="389" t="s">
        <v>166</v>
      </c>
      <c r="I1156" s="398" t="s">
        <v>2164</v>
      </c>
      <c r="J1156" s="399" t="s">
        <v>2165</v>
      </c>
      <c r="K1156" s="390" t="str">
        <f t="shared" si="56"/>
        <v>XXX57805692 XX</v>
      </c>
      <c r="L1156" s="391"/>
      <c r="M1156" s="398" t="s">
        <v>708</v>
      </c>
      <c r="N1156" s="399">
        <v>75235</v>
      </c>
      <c r="O1156" s="399" t="s">
        <v>1543</v>
      </c>
      <c r="P1156" s="398" t="s">
        <v>574</v>
      </c>
    </row>
    <row r="1157" spans="1:16" s="401" customFormat="1" ht="48">
      <c r="A1157" s="429">
        <f t="shared" si="54"/>
        <v>1154</v>
      </c>
      <c r="B1157" s="387">
        <v>46122</v>
      </c>
      <c r="C1157" s="388">
        <v>46082</v>
      </c>
      <c r="D1157" s="392" t="s">
        <v>166</v>
      </c>
      <c r="E1157" s="480" t="s">
        <v>231</v>
      </c>
      <c r="F1157" s="404">
        <v>487.5</v>
      </c>
      <c r="G1157" s="397" t="s">
        <v>2358</v>
      </c>
      <c r="H1157" s="389" t="s">
        <v>166</v>
      </c>
      <c r="I1157" s="398" t="s">
        <v>2166</v>
      </c>
      <c r="J1157" s="399" t="s">
        <v>2167</v>
      </c>
      <c r="K1157" s="390" t="str">
        <f t="shared" si="56"/>
        <v>XXX90287607 XX</v>
      </c>
      <c r="L1157" s="391"/>
      <c r="M1157" s="398" t="s">
        <v>708</v>
      </c>
      <c r="N1157" s="399">
        <v>75236</v>
      </c>
      <c r="O1157" s="399" t="s">
        <v>1543</v>
      </c>
      <c r="P1157" s="398" t="s">
        <v>574</v>
      </c>
    </row>
    <row r="1158" spans="1:16" s="401" customFormat="1" ht="48">
      <c r="A1158" s="429">
        <f t="shared" si="54"/>
        <v>1155</v>
      </c>
      <c r="B1158" s="387">
        <v>46122</v>
      </c>
      <c r="C1158" s="388">
        <v>46082</v>
      </c>
      <c r="D1158" s="392" t="s">
        <v>166</v>
      </c>
      <c r="E1158" s="480" t="s">
        <v>231</v>
      </c>
      <c r="F1158" s="404">
        <v>487.5</v>
      </c>
      <c r="G1158" s="397" t="s">
        <v>2358</v>
      </c>
      <c r="H1158" s="389" t="s">
        <v>166</v>
      </c>
      <c r="I1158" s="398" t="s">
        <v>2168</v>
      </c>
      <c r="J1158" s="399" t="s">
        <v>2169</v>
      </c>
      <c r="K1158" s="390" t="str">
        <f t="shared" si="56"/>
        <v>XXX14277625 XX</v>
      </c>
      <c r="L1158" s="391"/>
      <c r="M1158" s="398" t="s">
        <v>719</v>
      </c>
      <c r="N1158" s="399">
        <v>75237</v>
      </c>
      <c r="O1158" s="399" t="s">
        <v>1543</v>
      </c>
      <c r="P1158" s="398" t="s">
        <v>574</v>
      </c>
    </row>
    <row r="1159" spans="1:16" s="401" customFormat="1" ht="48">
      <c r="A1159" s="429">
        <f t="shared" si="54"/>
        <v>1156</v>
      </c>
      <c r="B1159" s="387">
        <v>46122</v>
      </c>
      <c r="C1159" s="388">
        <v>46082</v>
      </c>
      <c r="D1159" s="392" t="s">
        <v>166</v>
      </c>
      <c r="E1159" s="480" t="s">
        <v>231</v>
      </c>
      <c r="F1159" s="404">
        <v>487.5</v>
      </c>
      <c r="G1159" s="397" t="s">
        <v>2361</v>
      </c>
      <c r="H1159" s="389" t="s">
        <v>166</v>
      </c>
      <c r="I1159" s="398" t="s">
        <v>2170</v>
      </c>
      <c r="J1159" s="399" t="s">
        <v>2171</v>
      </c>
      <c r="K1159" s="390" t="str">
        <f t="shared" si="56"/>
        <v>XXX06520641 XX</v>
      </c>
      <c r="L1159" s="391"/>
      <c r="M1159" s="398" t="s">
        <v>708</v>
      </c>
      <c r="N1159" s="399">
        <v>75238</v>
      </c>
      <c r="O1159" s="399" t="s">
        <v>1543</v>
      </c>
      <c r="P1159" s="398" t="s">
        <v>574</v>
      </c>
    </row>
    <row r="1160" spans="1:16" s="401" customFormat="1" ht="48">
      <c r="A1160" s="429">
        <f t="shared" si="54"/>
        <v>1157</v>
      </c>
      <c r="B1160" s="387">
        <v>46122</v>
      </c>
      <c r="C1160" s="388">
        <v>46082</v>
      </c>
      <c r="D1160" s="392" t="s">
        <v>166</v>
      </c>
      <c r="E1160" s="480" t="s">
        <v>231</v>
      </c>
      <c r="F1160" s="404">
        <v>487.5</v>
      </c>
      <c r="G1160" s="397" t="s">
        <v>2361</v>
      </c>
      <c r="H1160" s="389" t="s">
        <v>166</v>
      </c>
      <c r="I1160" s="398" t="s">
        <v>2172</v>
      </c>
      <c r="J1160" s="399" t="s">
        <v>2173</v>
      </c>
      <c r="K1160" s="390" t="str">
        <f t="shared" si="56"/>
        <v>XXX88417607 XX</v>
      </c>
      <c r="L1160" s="391"/>
      <c r="M1160" s="398" t="s">
        <v>719</v>
      </c>
      <c r="N1160" s="399">
        <v>75239</v>
      </c>
      <c r="O1160" s="399" t="s">
        <v>1543</v>
      </c>
      <c r="P1160" s="398" t="s">
        <v>574</v>
      </c>
    </row>
    <row r="1161" spans="1:16" s="401" customFormat="1" ht="48">
      <c r="A1161" s="429">
        <f t="shared" si="54"/>
        <v>1158</v>
      </c>
      <c r="B1161" s="387">
        <v>46122</v>
      </c>
      <c r="C1161" s="388">
        <v>46082</v>
      </c>
      <c r="D1161" s="392" t="s">
        <v>166</v>
      </c>
      <c r="E1161" s="480" t="s">
        <v>231</v>
      </c>
      <c r="F1161" s="404">
        <v>487.5</v>
      </c>
      <c r="G1161" s="397" t="s">
        <v>2361</v>
      </c>
      <c r="H1161" s="389" t="s">
        <v>166</v>
      </c>
      <c r="I1161" s="398" t="s">
        <v>2174</v>
      </c>
      <c r="J1161" s="399" t="s">
        <v>2175</v>
      </c>
      <c r="K1161" s="390" t="str">
        <f t="shared" si="56"/>
        <v>XXX67243651 XX</v>
      </c>
      <c r="L1161" s="391"/>
      <c r="M1161" s="398" t="s">
        <v>708</v>
      </c>
      <c r="N1161" s="399">
        <v>75242</v>
      </c>
      <c r="O1161" s="399" t="s">
        <v>1543</v>
      </c>
      <c r="P1161" s="398" t="s">
        <v>574</v>
      </c>
    </row>
    <row r="1162" spans="1:16" s="401" customFormat="1" ht="48">
      <c r="A1162" s="429">
        <f t="shared" si="54"/>
        <v>1159</v>
      </c>
      <c r="B1162" s="387">
        <v>46122</v>
      </c>
      <c r="C1162" s="388">
        <v>46082</v>
      </c>
      <c r="D1162" s="392" t="s">
        <v>166</v>
      </c>
      <c r="E1162" s="480" t="s">
        <v>231</v>
      </c>
      <c r="F1162" s="404">
        <v>487.5</v>
      </c>
      <c r="G1162" s="397" t="s">
        <v>2360</v>
      </c>
      <c r="H1162" s="389" t="s">
        <v>166</v>
      </c>
      <c r="I1162" s="398" t="s">
        <v>2176</v>
      </c>
      <c r="J1162" s="399" t="s">
        <v>2177</v>
      </c>
      <c r="K1162" s="390" t="str">
        <f t="shared" si="56"/>
        <v>XXX91712681 XX</v>
      </c>
      <c r="L1162" s="403"/>
      <c r="M1162" s="398" t="s">
        <v>708</v>
      </c>
      <c r="N1162" s="399">
        <v>75243</v>
      </c>
      <c r="O1162" s="399" t="s">
        <v>1543</v>
      </c>
      <c r="P1162" s="398" t="s">
        <v>574</v>
      </c>
    </row>
    <row r="1163" spans="1:16" s="401" customFormat="1" ht="48">
      <c r="A1163" s="429">
        <f t="shared" si="54"/>
        <v>1160</v>
      </c>
      <c r="B1163" s="387">
        <v>46122</v>
      </c>
      <c r="C1163" s="388">
        <v>46082</v>
      </c>
      <c r="D1163" s="392" t="s">
        <v>166</v>
      </c>
      <c r="E1163" s="480" t="s">
        <v>231</v>
      </c>
      <c r="F1163" s="404">
        <v>487.5</v>
      </c>
      <c r="G1163" s="397" t="s">
        <v>2358</v>
      </c>
      <c r="H1163" s="389" t="s">
        <v>166</v>
      </c>
      <c r="I1163" s="398" t="s">
        <v>2178</v>
      </c>
      <c r="J1163" s="399" t="s">
        <v>2179</v>
      </c>
      <c r="K1163" s="390" t="str">
        <f t="shared" si="56"/>
        <v>XXX76618630 XX</v>
      </c>
      <c r="L1163" s="391"/>
      <c r="M1163" s="398" t="s">
        <v>719</v>
      </c>
      <c r="N1163" s="399">
        <v>75244</v>
      </c>
      <c r="O1163" s="399" t="s">
        <v>1543</v>
      </c>
      <c r="P1163" s="398" t="s">
        <v>574</v>
      </c>
    </row>
    <row r="1164" spans="1:16" s="401" customFormat="1" ht="48">
      <c r="A1164" s="429">
        <f t="shared" si="54"/>
        <v>1161</v>
      </c>
      <c r="B1164" s="387">
        <v>46122</v>
      </c>
      <c r="C1164" s="388">
        <v>46082</v>
      </c>
      <c r="D1164" s="392" t="s">
        <v>166</v>
      </c>
      <c r="E1164" s="480" t="s">
        <v>231</v>
      </c>
      <c r="F1164" s="404">
        <v>487.5</v>
      </c>
      <c r="G1164" s="397" t="s">
        <v>2360</v>
      </c>
      <c r="H1164" s="389" t="s">
        <v>166</v>
      </c>
      <c r="I1164" s="398" t="s">
        <v>2180</v>
      </c>
      <c r="J1164" s="399" t="s">
        <v>2181</v>
      </c>
      <c r="K1164" s="390" t="str">
        <f t="shared" si="56"/>
        <v>XXX10316665 XX</v>
      </c>
      <c r="L1164" s="391"/>
      <c r="M1164" s="398" t="s">
        <v>708</v>
      </c>
      <c r="N1164" s="399">
        <v>75245</v>
      </c>
      <c r="O1164" s="399" t="s">
        <v>1543</v>
      </c>
      <c r="P1164" s="398" t="s">
        <v>574</v>
      </c>
    </row>
    <row r="1165" spans="1:16" s="401" customFormat="1" ht="48">
      <c r="A1165" s="429">
        <f t="shared" si="54"/>
        <v>1162</v>
      </c>
      <c r="B1165" s="387">
        <v>46122</v>
      </c>
      <c r="C1165" s="388">
        <v>46082</v>
      </c>
      <c r="D1165" s="392" t="s">
        <v>166</v>
      </c>
      <c r="E1165" s="480" t="s">
        <v>231</v>
      </c>
      <c r="F1165" s="404">
        <v>487.5</v>
      </c>
      <c r="G1165" s="397" t="s">
        <v>2362</v>
      </c>
      <c r="H1165" s="389" t="s">
        <v>166</v>
      </c>
      <c r="I1165" s="398" t="s">
        <v>2182</v>
      </c>
      <c r="J1165" s="399" t="s">
        <v>2183</v>
      </c>
      <c r="K1165" s="390" t="str">
        <f t="shared" si="56"/>
        <v>XXX90955661 XX</v>
      </c>
      <c r="L1165" s="391"/>
      <c r="M1165" s="398" t="s">
        <v>708</v>
      </c>
      <c r="N1165" s="399">
        <v>75246</v>
      </c>
      <c r="O1165" s="399" t="s">
        <v>1543</v>
      </c>
      <c r="P1165" s="398" t="s">
        <v>574</v>
      </c>
    </row>
    <row r="1166" spans="1:16" s="401" customFormat="1" ht="48">
      <c r="A1166" s="429">
        <f t="shared" si="54"/>
        <v>1163</v>
      </c>
      <c r="B1166" s="387">
        <v>46122</v>
      </c>
      <c r="C1166" s="388">
        <v>46082</v>
      </c>
      <c r="D1166" s="392" t="s">
        <v>166</v>
      </c>
      <c r="E1166" s="480" t="s">
        <v>231</v>
      </c>
      <c r="F1166" s="404">
        <v>487.5</v>
      </c>
      <c r="G1166" s="397" t="s">
        <v>2361</v>
      </c>
      <c r="H1166" s="389" t="s">
        <v>166</v>
      </c>
      <c r="I1166" s="398" t="s">
        <v>2184</v>
      </c>
      <c r="J1166" s="399" t="s">
        <v>2185</v>
      </c>
      <c r="K1166" s="390" t="str">
        <f t="shared" si="56"/>
        <v>XXX66650680 XX</v>
      </c>
      <c r="L1166" s="391"/>
      <c r="M1166" s="398" t="s">
        <v>719</v>
      </c>
      <c r="N1166" s="399">
        <v>75248</v>
      </c>
      <c r="O1166" s="399" t="s">
        <v>1543</v>
      </c>
      <c r="P1166" s="398" t="s">
        <v>574</v>
      </c>
    </row>
    <row r="1167" spans="1:16" s="401" customFormat="1" ht="48">
      <c r="A1167" s="429">
        <f t="shared" si="54"/>
        <v>1164</v>
      </c>
      <c r="B1167" s="387">
        <v>46122</v>
      </c>
      <c r="C1167" s="388">
        <v>46082</v>
      </c>
      <c r="D1167" s="392" t="s">
        <v>166</v>
      </c>
      <c r="E1167" s="480" t="s">
        <v>231</v>
      </c>
      <c r="F1167" s="404">
        <v>487.5</v>
      </c>
      <c r="G1167" s="397" t="s">
        <v>2360</v>
      </c>
      <c r="H1167" s="389" t="s">
        <v>166</v>
      </c>
      <c r="I1167" s="398" t="s">
        <v>2186</v>
      </c>
      <c r="J1167" s="399" t="s">
        <v>2187</v>
      </c>
      <c r="K1167" s="390" t="str">
        <f t="shared" si="56"/>
        <v>XXX83878632 XX</v>
      </c>
      <c r="L1167" s="391"/>
      <c r="M1167" s="398" t="s">
        <v>708</v>
      </c>
      <c r="N1167" s="399">
        <v>75249</v>
      </c>
      <c r="O1167" s="399" t="s">
        <v>1543</v>
      </c>
      <c r="P1167" s="398" t="s">
        <v>574</v>
      </c>
    </row>
    <row r="1168" spans="1:16" s="401" customFormat="1" ht="48">
      <c r="A1168" s="429">
        <f t="shared" si="54"/>
        <v>1165</v>
      </c>
      <c r="B1168" s="387">
        <v>46122</v>
      </c>
      <c r="C1168" s="388">
        <v>46082</v>
      </c>
      <c r="D1168" s="392" t="s">
        <v>166</v>
      </c>
      <c r="E1168" s="480" t="s">
        <v>231</v>
      </c>
      <c r="F1168" s="404">
        <v>487.5</v>
      </c>
      <c r="G1168" s="397" t="s">
        <v>2360</v>
      </c>
      <c r="H1168" s="389" t="s">
        <v>166</v>
      </c>
      <c r="I1168" s="398" t="s">
        <v>2188</v>
      </c>
      <c r="J1168" s="399" t="s">
        <v>2189</v>
      </c>
      <c r="K1168" s="390" t="str">
        <f t="shared" si="56"/>
        <v>XXX90354770 XX</v>
      </c>
      <c r="L1168" s="391"/>
      <c r="M1168" s="398" t="s">
        <v>708</v>
      </c>
      <c r="N1168" s="399">
        <v>75250</v>
      </c>
      <c r="O1168" s="399" t="s">
        <v>1543</v>
      </c>
      <c r="P1168" s="398" t="s">
        <v>574</v>
      </c>
    </row>
    <row r="1169" spans="1:16" s="401" customFormat="1" ht="48">
      <c r="A1169" s="429">
        <f t="shared" si="54"/>
        <v>1166</v>
      </c>
      <c r="B1169" s="387">
        <v>46122</v>
      </c>
      <c r="C1169" s="388">
        <v>46082</v>
      </c>
      <c r="D1169" s="392" t="s">
        <v>166</v>
      </c>
      <c r="E1169" s="480" t="s">
        <v>231</v>
      </c>
      <c r="F1169" s="404">
        <v>487.5</v>
      </c>
      <c r="G1169" s="397" t="s">
        <v>2361</v>
      </c>
      <c r="H1169" s="389" t="s">
        <v>166</v>
      </c>
      <c r="I1169" s="398" t="s">
        <v>2190</v>
      </c>
      <c r="J1169" s="399" t="s">
        <v>2191</v>
      </c>
      <c r="K1169" s="390" t="str">
        <f t="shared" si="56"/>
        <v>XXX06030690 XX</v>
      </c>
      <c r="L1169" s="391"/>
      <c r="M1169" s="398" t="s">
        <v>719</v>
      </c>
      <c r="N1169" s="399">
        <v>75251</v>
      </c>
      <c r="O1169" s="399" t="s">
        <v>1543</v>
      </c>
      <c r="P1169" s="398" t="s">
        <v>574</v>
      </c>
    </row>
    <row r="1170" spans="1:16" s="401" customFormat="1" ht="48">
      <c r="A1170" s="429">
        <f t="shared" si="54"/>
        <v>1167</v>
      </c>
      <c r="B1170" s="387">
        <v>46122</v>
      </c>
      <c r="C1170" s="388">
        <v>46113</v>
      </c>
      <c r="D1170" s="392" t="s">
        <v>248</v>
      </c>
      <c r="E1170" s="398" t="s">
        <v>597</v>
      </c>
      <c r="F1170" s="404">
        <v>100</v>
      </c>
      <c r="G1170" s="397" t="s">
        <v>2363</v>
      </c>
      <c r="H1170" s="389" t="s">
        <v>278</v>
      </c>
      <c r="I1170" s="398" t="s">
        <v>1472</v>
      </c>
      <c r="J1170" s="399" t="s">
        <v>1473</v>
      </c>
      <c r="K1170" s="390" t="str">
        <f t="shared" si="56"/>
        <v>XXX735210001XX</v>
      </c>
      <c r="L1170" s="391"/>
      <c r="M1170" s="398" t="s">
        <v>706</v>
      </c>
      <c r="N1170" s="399">
        <v>8707</v>
      </c>
      <c r="O1170" s="399" t="s">
        <v>2095</v>
      </c>
      <c r="P1170" s="398" t="s">
        <v>574</v>
      </c>
    </row>
    <row r="1171" spans="1:16" s="401" customFormat="1" ht="36">
      <c r="A1171" s="429">
        <f t="shared" si="54"/>
        <v>1168</v>
      </c>
      <c r="B1171" s="387">
        <v>46125</v>
      </c>
      <c r="C1171" s="388">
        <v>46082</v>
      </c>
      <c r="D1171" s="392" t="s">
        <v>248</v>
      </c>
      <c r="E1171" s="398" t="s">
        <v>597</v>
      </c>
      <c r="F1171" s="404">
        <v>590.41999999999996</v>
      </c>
      <c r="G1171" s="397" t="s">
        <v>2364</v>
      </c>
      <c r="H1171" s="389" t="s">
        <v>278</v>
      </c>
      <c r="I1171" s="398" t="s">
        <v>2192</v>
      </c>
      <c r="J1171" s="399" t="s">
        <v>2193</v>
      </c>
      <c r="K1171" s="390" t="str">
        <f t="shared" ref="K1171:K1184" si="57">IF(J1171="","",IF(LEN(J1171)&gt;14,IF(ISBLANK(J1171),"",J1171),REPLACE(REPLACE(J1171,1,3,"XXX"),13,2,"XX")))</f>
        <v>XXX981630001XX</v>
      </c>
      <c r="L1171" s="391"/>
      <c r="M1171" s="398" t="s">
        <v>704</v>
      </c>
      <c r="N1171" s="399">
        <v>395113</v>
      </c>
      <c r="O1171" s="399" t="s">
        <v>1540</v>
      </c>
      <c r="P1171" s="398" t="s">
        <v>574</v>
      </c>
    </row>
    <row r="1172" spans="1:16" s="401" customFormat="1" ht="36">
      <c r="A1172" s="429">
        <f t="shared" ref="A1172:A1212" si="58">IF(B1172="","",ROW()-ROW($A$3))</f>
        <v>1169</v>
      </c>
      <c r="B1172" s="387">
        <v>46125</v>
      </c>
      <c r="C1172" s="388">
        <v>46082</v>
      </c>
      <c r="D1172" s="392" t="s">
        <v>248</v>
      </c>
      <c r="E1172" s="481" t="s">
        <v>150</v>
      </c>
      <c r="F1172" s="404">
        <v>887.58</v>
      </c>
      <c r="G1172" s="397" t="s">
        <v>2365</v>
      </c>
      <c r="H1172" s="389" t="s">
        <v>278</v>
      </c>
      <c r="I1172" s="398" t="s">
        <v>641</v>
      </c>
      <c r="J1172" s="399" t="s">
        <v>642</v>
      </c>
      <c r="K1172" s="390" t="str">
        <f t="shared" si="57"/>
        <v>XXX581570009XX</v>
      </c>
      <c r="L1172" s="391"/>
      <c r="M1172" s="398" t="s">
        <v>717</v>
      </c>
      <c r="N1172" s="399">
        <v>907517</v>
      </c>
      <c r="O1172" s="399" t="s">
        <v>1535</v>
      </c>
      <c r="P1172" s="398" t="s">
        <v>868</v>
      </c>
    </row>
    <row r="1173" spans="1:16" s="401" customFormat="1" ht="72">
      <c r="A1173" s="429">
        <f t="shared" si="58"/>
        <v>1170</v>
      </c>
      <c r="B1173" s="387">
        <v>46125</v>
      </c>
      <c r="C1173" s="388">
        <v>46113</v>
      </c>
      <c r="D1173" s="392" t="s">
        <v>248</v>
      </c>
      <c r="E1173" s="398" t="s">
        <v>608</v>
      </c>
      <c r="F1173" s="404">
        <v>263.69</v>
      </c>
      <c r="G1173" s="397" t="s">
        <v>1703</v>
      </c>
      <c r="H1173" s="392" t="s">
        <v>1029</v>
      </c>
      <c r="I1173" s="398" t="s">
        <v>645</v>
      </c>
      <c r="J1173" s="399" t="s">
        <v>646</v>
      </c>
      <c r="K1173" s="390" t="str">
        <f t="shared" si="57"/>
        <v>XXX460700001XX</v>
      </c>
      <c r="L1173" s="391"/>
      <c r="M1173" s="398" t="s">
        <v>708</v>
      </c>
      <c r="N1173" s="399">
        <v>2051</v>
      </c>
      <c r="O1173" s="399" t="s">
        <v>2089</v>
      </c>
      <c r="P1173" s="398" t="s">
        <v>574</v>
      </c>
    </row>
    <row r="1174" spans="1:16" s="401" customFormat="1" ht="24">
      <c r="A1174" s="429">
        <f t="shared" si="58"/>
        <v>1171</v>
      </c>
      <c r="B1174" s="387">
        <v>46125</v>
      </c>
      <c r="C1174" s="388">
        <v>46113</v>
      </c>
      <c r="D1174" s="392" t="s">
        <v>166</v>
      </c>
      <c r="E1174" s="480" t="s">
        <v>452</v>
      </c>
      <c r="F1174" s="491">
        <v>40355.56</v>
      </c>
      <c r="G1174" s="397" t="s">
        <v>2366</v>
      </c>
      <c r="H1174" s="389" t="s">
        <v>166</v>
      </c>
      <c r="I1174" s="398" t="s">
        <v>2194</v>
      </c>
      <c r="J1174" s="399" t="s">
        <v>2195</v>
      </c>
      <c r="K1174" s="390" t="str">
        <f t="shared" si="57"/>
        <v>XXX02257624 XX</v>
      </c>
      <c r="L1174" s="391"/>
      <c r="M1174" s="398" t="s">
        <v>705</v>
      </c>
      <c r="N1174" s="399">
        <v>375</v>
      </c>
      <c r="O1174" s="399" t="s">
        <v>2089</v>
      </c>
      <c r="P1174" s="398" t="s">
        <v>573</v>
      </c>
    </row>
    <row r="1175" spans="1:16" s="401" customFormat="1" ht="24">
      <c r="A1175" s="429">
        <f t="shared" si="58"/>
        <v>1172</v>
      </c>
      <c r="B1175" s="387">
        <v>46125</v>
      </c>
      <c r="C1175" s="388">
        <v>46113</v>
      </c>
      <c r="D1175" s="392" t="s">
        <v>166</v>
      </c>
      <c r="E1175" s="480" t="s">
        <v>452</v>
      </c>
      <c r="F1175" s="491">
        <v>19013.79</v>
      </c>
      <c r="G1175" s="397" t="s">
        <v>2367</v>
      </c>
      <c r="H1175" s="389" t="s">
        <v>166</v>
      </c>
      <c r="I1175" s="398" t="s">
        <v>2196</v>
      </c>
      <c r="J1175" s="399" t="s">
        <v>2197</v>
      </c>
      <c r="K1175" s="390" t="str">
        <f t="shared" si="57"/>
        <v>XXX21627671 XX</v>
      </c>
      <c r="L1175" s="391"/>
      <c r="M1175" s="398" t="s">
        <v>705</v>
      </c>
      <c r="N1175" s="399">
        <v>375</v>
      </c>
      <c r="O1175" s="399" t="s">
        <v>2089</v>
      </c>
      <c r="P1175" s="398" t="s">
        <v>573</v>
      </c>
    </row>
    <row r="1176" spans="1:16" s="401" customFormat="1" ht="42" customHeight="1">
      <c r="A1176" s="429">
        <f t="shared" si="58"/>
        <v>1173</v>
      </c>
      <c r="B1176" s="387">
        <v>46125</v>
      </c>
      <c r="C1176" s="388">
        <v>46113</v>
      </c>
      <c r="D1176" s="392" t="s">
        <v>248</v>
      </c>
      <c r="E1176" s="398" t="s">
        <v>597</v>
      </c>
      <c r="F1176" s="491">
        <v>8.8000000000000007</v>
      </c>
      <c r="G1176" s="397" t="s">
        <v>2368</v>
      </c>
      <c r="H1176" s="389" t="s">
        <v>278</v>
      </c>
      <c r="I1176" s="398" t="s">
        <v>2962</v>
      </c>
      <c r="J1176" s="399" t="s">
        <v>2963</v>
      </c>
      <c r="K1176" s="390" t="str">
        <f t="shared" si="57"/>
        <v>01.156.234/0001-95</v>
      </c>
      <c r="L1176" s="391"/>
      <c r="M1176" s="398" t="s">
        <v>710</v>
      </c>
      <c r="N1176" s="399">
        <v>155285</v>
      </c>
      <c r="O1176" s="399" t="s">
        <v>2096</v>
      </c>
      <c r="P1176" s="391" t="s">
        <v>2525</v>
      </c>
    </row>
    <row r="1177" spans="1:16" s="401" customFormat="1" ht="41.25" customHeight="1">
      <c r="A1177" s="429">
        <f t="shared" si="58"/>
        <v>1174</v>
      </c>
      <c r="B1177" s="387">
        <v>46126</v>
      </c>
      <c r="C1177" s="388">
        <v>46082</v>
      </c>
      <c r="D1177" s="392" t="s">
        <v>166</v>
      </c>
      <c r="E1177" s="480" t="s">
        <v>10</v>
      </c>
      <c r="F1177" s="491">
        <v>32085.17</v>
      </c>
      <c r="G1177" s="397" t="s">
        <v>2369</v>
      </c>
      <c r="H1177" s="389" t="s">
        <v>166</v>
      </c>
      <c r="I1177" s="398" t="s">
        <v>647</v>
      </c>
      <c r="J1177" s="399" t="s">
        <v>648</v>
      </c>
      <c r="K1177" s="390" t="str">
        <f t="shared" si="57"/>
        <v>XXX603050001XX</v>
      </c>
      <c r="L1177" s="391"/>
      <c r="M1177" s="398" t="s">
        <v>718</v>
      </c>
      <c r="N1177" s="399">
        <v>42026</v>
      </c>
      <c r="O1177" s="399" t="s">
        <v>1521</v>
      </c>
      <c r="P1177" s="398" t="s">
        <v>573</v>
      </c>
    </row>
    <row r="1178" spans="1:16" s="401" customFormat="1" ht="41.25" customHeight="1">
      <c r="A1178" s="429">
        <f t="shared" si="58"/>
        <v>1175</v>
      </c>
      <c r="B1178" s="387">
        <v>46126</v>
      </c>
      <c r="C1178" s="388">
        <v>46082</v>
      </c>
      <c r="D1178" s="392" t="s">
        <v>166</v>
      </c>
      <c r="E1178" s="480" t="s">
        <v>10</v>
      </c>
      <c r="F1178" s="491">
        <v>86667.05</v>
      </c>
      <c r="G1178" s="397" t="s">
        <v>2370</v>
      </c>
      <c r="H1178" s="389" t="s">
        <v>166</v>
      </c>
      <c r="I1178" s="398" t="s">
        <v>647</v>
      </c>
      <c r="J1178" s="399" t="s">
        <v>648</v>
      </c>
      <c r="K1178" s="390" t="str">
        <f t="shared" si="57"/>
        <v>XXX603050001XX</v>
      </c>
      <c r="L1178" s="391"/>
      <c r="M1178" s="398" t="s">
        <v>718</v>
      </c>
      <c r="N1178" s="399">
        <v>42026</v>
      </c>
      <c r="O1178" s="399" t="s">
        <v>1521</v>
      </c>
      <c r="P1178" s="398" t="s">
        <v>573</v>
      </c>
    </row>
    <row r="1179" spans="1:16" s="401" customFormat="1" ht="36">
      <c r="A1179" s="429">
        <f t="shared" si="58"/>
        <v>1176</v>
      </c>
      <c r="B1179" s="387">
        <v>46126</v>
      </c>
      <c r="C1179" s="388">
        <v>46113</v>
      </c>
      <c r="D1179" s="392" t="s">
        <v>248</v>
      </c>
      <c r="E1179" s="398" t="s">
        <v>597</v>
      </c>
      <c r="F1179" s="491">
        <v>7.49</v>
      </c>
      <c r="G1179" s="397" t="s">
        <v>2371</v>
      </c>
      <c r="H1179" s="389" t="s">
        <v>278</v>
      </c>
      <c r="I1179" s="398" t="s">
        <v>2964</v>
      </c>
      <c r="J1179" s="399" t="s">
        <v>2965</v>
      </c>
      <c r="K1179" s="390" t="str">
        <f t="shared" si="57"/>
        <v>07.278.874/0001-54</v>
      </c>
      <c r="L1179" s="403"/>
      <c r="M1179" s="398" t="s">
        <v>710</v>
      </c>
      <c r="N1179" s="399">
        <v>654549013</v>
      </c>
      <c r="O1179" s="399" t="s">
        <v>2097</v>
      </c>
      <c r="P1179" s="391" t="s">
        <v>2525</v>
      </c>
    </row>
    <row r="1180" spans="1:16" s="401" customFormat="1" ht="48">
      <c r="A1180" s="429">
        <f t="shared" si="58"/>
        <v>1177</v>
      </c>
      <c r="B1180" s="387">
        <v>46126</v>
      </c>
      <c r="C1180" s="388">
        <v>46113</v>
      </c>
      <c r="D1180" s="392" t="s">
        <v>248</v>
      </c>
      <c r="E1180" s="398" t="s">
        <v>597</v>
      </c>
      <c r="F1180" s="491">
        <v>16.899999999999999</v>
      </c>
      <c r="G1180" s="397" t="s">
        <v>2372</v>
      </c>
      <c r="H1180" s="389" t="s">
        <v>278</v>
      </c>
      <c r="I1180" s="398" t="s">
        <v>2962</v>
      </c>
      <c r="J1180" s="399" t="s">
        <v>2963</v>
      </c>
      <c r="K1180" s="390" t="str">
        <f t="shared" si="57"/>
        <v>01.156.234/0001-95</v>
      </c>
      <c r="L1180" s="403"/>
      <c r="M1180" s="398" t="s">
        <v>710</v>
      </c>
      <c r="N1180" s="399">
        <v>155305</v>
      </c>
      <c r="O1180" s="399" t="s">
        <v>2097</v>
      </c>
      <c r="P1180" s="391" t="s">
        <v>2525</v>
      </c>
    </row>
    <row r="1181" spans="1:16" s="401" customFormat="1" ht="48">
      <c r="A1181" s="429">
        <f t="shared" si="58"/>
        <v>1178</v>
      </c>
      <c r="B1181" s="387">
        <v>46126</v>
      </c>
      <c r="C1181" s="388">
        <v>46113</v>
      </c>
      <c r="D1181" s="392" t="s">
        <v>248</v>
      </c>
      <c r="E1181" s="482" t="s">
        <v>61</v>
      </c>
      <c r="F1181" s="491">
        <v>100</v>
      </c>
      <c r="G1181" s="397" t="s">
        <v>2373</v>
      </c>
      <c r="H1181" s="389" t="s">
        <v>278</v>
      </c>
      <c r="I1181" s="398" t="s">
        <v>2967</v>
      </c>
      <c r="J1181" s="399" t="s">
        <v>2966</v>
      </c>
      <c r="K1181" s="390" t="str">
        <f t="shared" si="57"/>
        <v>00.786.960/0001-29</v>
      </c>
      <c r="L1181" s="391"/>
      <c r="M1181" s="398" t="s">
        <v>710</v>
      </c>
      <c r="N1181" s="399">
        <v>840</v>
      </c>
      <c r="O1181" s="399" t="s">
        <v>2097</v>
      </c>
      <c r="P1181" s="391" t="s">
        <v>2525</v>
      </c>
    </row>
    <row r="1182" spans="1:16" s="401" customFormat="1" ht="51.75" customHeight="1">
      <c r="A1182" s="429">
        <f t="shared" si="58"/>
        <v>1179</v>
      </c>
      <c r="B1182" s="387">
        <v>46126</v>
      </c>
      <c r="C1182" s="388">
        <v>46113</v>
      </c>
      <c r="D1182" s="392" t="s">
        <v>248</v>
      </c>
      <c r="E1182" s="398" t="s">
        <v>1552</v>
      </c>
      <c r="F1182" s="404">
        <v>612.14</v>
      </c>
      <c r="G1182" s="397" t="s">
        <v>3043</v>
      </c>
      <c r="H1182" s="389" t="s">
        <v>736</v>
      </c>
      <c r="I1182" s="398" t="s">
        <v>635</v>
      </c>
      <c r="J1182" s="399" t="s">
        <v>636</v>
      </c>
      <c r="K1182" s="390" t="str">
        <f t="shared" si="57"/>
        <v>XXX153830001XX</v>
      </c>
      <c r="L1182" s="391"/>
      <c r="M1182" s="398" t="s">
        <v>712</v>
      </c>
      <c r="N1182" s="399">
        <v>585915592</v>
      </c>
      <c r="O1182" s="399" t="s">
        <v>2097</v>
      </c>
      <c r="P1182" s="398" t="s">
        <v>868</v>
      </c>
    </row>
    <row r="1183" spans="1:16" s="401" customFormat="1" ht="48">
      <c r="A1183" s="429">
        <f t="shared" si="58"/>
        <v>1180</v>
      </c>
      <c r="B1183" s="387">
        <v>46126</v>
      </c>
      <c r="C1183" s="388">
        <v>46113</v>
      </c>
      <c r="D1183" s="392" t="s">
        <v>248</v>
      </c>
      <c r="E1183" s="398" t="s">
        <v>1552</v>
      </c>
      <c r="F1183" s="404">
        <v>1760.08</v>
      </c>
      <c r="G1183" s="397" t="s">
        <v>3105</v>
      </c>
      <c r="H1183" s="389" t="s">
        <v>736</v>
      </c>
      <c r="I1183" s="398" t="s">
        <v>668</v>
      </c>
      <c r="J1183" s="399" t="s">
        <v>669</v>
      </c>
      <c r="K1183" s="390" t="str">
        <f t="shared" si="57"/>
        <v>XXX077460001XX</v>
      </c>
      <c r="L1183" s="391"/>
      <c r="M1183" s="398" t="s">
        <v>721</v>
      </c>
      <c r="N1183" s="399">
        <v>585915592</v>
      </c>
      <c r="O1183" s="399" t="s">
        <v>2097</v>
      </c>
      <c r="P1183" s="398" t="s">
        <v>868</v>
      </c>
    </row>
    <row r="1184" spans="1:16" s="401" customFormat="1" ht="48">
      <c r="A1184" s="429">
        <f t="shared" si="58"/>
        <v>1181</v>
      </c>
      <c r="B1184" s="387">
        <v>46126</v>
      </c>
      <c r="C1184" s="388">
        <v>46113</v>
      </c>
      <c r="D1184" s="392" t="s">
        <v>248</v>
      </c>
      <c r="E1184" s="398" t="s">
        <v>1552</v>
      </c>
      <c r="F1184" s="404">
        <v>3620.92</v>
      </c>
      <c r="G1184" s="397" t="s">
        <v>3132</v>
      </c>
      <c r="H1184" s="389" t="s">
        <v>736</v>
      </c>
      <c r="I1184" s="398" t="s">
        <v>668</v>
      </c>
      <c r="J1184" s="399" t="s">
        <v>669</v>
      </c>
      <c r="K1184" s="390" t="str">
        <f t="shared" si="57"/>
        <v>XXX077460001XX</v>
      </c>
      <c r="L1184" s="391"/>
      <c r="M1184" s="398" t="s">
        <v>1545</v>
      </c>
      <c r="N1184" s="399">
        <v>585915592</v>
      </c>
      <c r="O1184" s="399" t="s">
        <v>2097</v>
      </c>
      <c r="P1184" s="398" t="s">
        <v>868</v>
      </c>
    </row>
    <row r="1185" spans="1:16" s="401" customFormat="1" ht="48">
      <c r="A1185" s="429">
        <f t="shared" si="58"/>
        <v>1182</v>
      </c>
      <c r="B1185" s="387">
        <v>46126</v>
      </c>
      <c r="C1185" s="388">
        <v>46113</v>
      </c>
      <c r="D1185" s="392" t="s">
        <v>248</v>
      </c>
      <c r="E1185" s="398" t="s">
        <v>1552</v>
      </c>
      <c r="F1185" s="404">
        <v>382.12</v>
      </c>
      <c r="G1185" s="397" t="s">
        <v>3105</v>
      </c>
      <c r="H1185" s="389" t="s">
        <v>736</v>
      </c>
      <c r="I1185" s="398" t="s">
        <v>668</v>
      </c>
      <c r="J1185" s="399" t="s">
        <v>669</v>
      </c>
      <c r="K1185" s="390" t="str">
        <f t="shared" ref="K1185:K1211" si="59">IF(J1185="","",IF(LEN(J1185)&gt;14,IF(ISBLANK(J1185),"",J1185),REPLACE(REPLACE(J1185,1,3,"XXX"),13,2,"XX")))</f>
        <v>XXX077460001XX</v>
      </c>
      <c r="L1185" s="391"/>
      <c r="M1185" s="398" t="s">
        <v>721</v>
      </c>
      <c r="N1185" s="399">
        <v>585915592</v>
      </c>
      <c r="O1185" s="399" t="s">
        <v>2097</v>
      </c>
      <c r="P1185" s="398" t="s">
        <v>868</v>
      </c>
    </row>
    <row r="1186" spans="1:16" s="401" customFormat="1" ht="36">
      <c r="A1186" s="429">
        <f t="shared" si="58"/>
        <v>1183</v>
      </c>
      <c r="B1186" s="387">
        <v>46126</v>
      </c>
      <c r="C1186" s="388">
        <v>46113</v>
      </c>
      <c r="D1186" s="392" t="s">
        <v>248</v>
      </c>
      <c r="E1186" s="398" t="s">
        <v>1552</v>
      </c>
      <c r="F1186" s="404">
        <v>20404.580000000002</v>
      </c>
      <c r="G1186" s="397" t="s">
        <v>2374</v>
      </c>
      <c r="H1186" s="389" t="s">
        <v>736</v>
      </c>
      <c r="I1186" s="398" t="s">
        <v>2198</v>
      </c>
      <c r="J1186" s="399" t="s">
        <v>773</v>
      </c>
      <c r="K1186" s="390" t="str">
        <f t="shared" si="59"/>
        <v>XXX000000000XX</v>
      </c>
      <c r="L1186" s="391"/>
      <c r="M1186" s="398" t="s">
        <v>727</v>
      </c>
      <c r="N1186" s="399">
        <v>585915592</v>
      </c>
      <c r="O1186" s="399" t="s">
        <v>2097</v>
      </c>
      <c r="P1186" s="398" t="s">
        <v>868</v>
      </c>
    </row>
    <row r="1187" spans="1:16" s="401" customFormat="1" ht="36">
      <c r="A1187" s="429">
        <f t="shared" si="58"/>
        <v>1184</v>
      </c>
      <c r="B1187" s="387">
        <v>46126</v>
      </c>
      <c r="C1187" s="388">
        <v>46113</v>
      </c>
      <c r="D1187" s="392" t="s">
        <v>248</v>
      </c>
      <c r="E1187" s="398" t="s">
        <v>1552</v>
      </c>
      <c r="F1187" s="404">
        <v>714.16</v>
      </c>
      <c r="G1187" s="397" t="s">
        <v>2374</v>
      </c>
      <c r="H1187" s="389" t="s">
        <v>736</v>
      </c>
      <c r="I1187" s="398" t="s">
        <v>771</v>
      </c>
      <c r="J1187" s="399" t="s">
        <v>772</v>
      </c>
      <c r="K1187" s="390" t="str">
        <f t="shared" si="59"/>
        <v>XXX000005138XX</v>
      </c>
      <c r="L1187" s="391"/>
      <c r="M1187" s="398" t="s">
        <v>1548</v>
      </c>
      <c r="N1187" s="399">
        <v>585915592</v>
      </c>
      <c r="O1187" s="399" t="s">
        <v>2097</v>
      </c>
      <c r="P1187" s="398" t="s">
        <v>868</v>
      </c>
    </row>
    <row r="1188" spans="1:16" s="401" customFormat="1" ht="36">
      <c r="A1188" s="429">
        <f t="shared" si="58"/>
        <v>1185</v>
      </c>
      <c r="B1188" s="387">
        <v>46126</v>
      </c>
      <c r="C1188" s="388">
        <v>46113</v>
      </c>
      <c r="D1188" s="392" t="s">
        <v>248</v>
      </c>
      <c r="E1188" s="398" t="s">
        <v>1552</v>
      </c>
      <c r="F1188" s="404">
        <v>550</v>
      </c>
      <c r="G1188" s="397" t="s">
        <v>2374</v>
      </c>
      <c r="H1188" s="389" t="s">
        <v>736</v>
      </c>
      <c r="I1188" s="398" t="s">
        <v>771</v>
      </c>
      <c r="J1188" s="399" t="s">
        <v>772</v>
      </c>
      <c r="K1188" s="390" t="str">
        <f t="shared" si="59"/>
        <v>XXX000005138XX</v>
      </c>
      <c r="L1188" s="391"/>
      <c r="M1188" s="398" t="s">
        <v>1549</v>
      </c>
      <c r="N1188" s="399">
        <v>585915592</v>
      </c>
      <c r="O1188" s="399" t="s">
        <v>2097</v>
      </c>
      <c r="P1188" s="398" t="s">
        <v>868</v>
      </c>
    </row>
    <row r="1189" spans="1:16" s="401" customFormat="1" ht="48">
      <c r="A1189" s="429">
        <f t="shared" si="58"/>
        <v>1186</v>
      </c>
      <c r="B1189" s="387">
        <v>46126</v>
      </c>
      <c r="C1189" s="388">
        <v>46113</v>
      </c>
      <c r="D1189" s="392" t="s">
        <v>248</v>
      </c>
      <c r="E1189" s="398" t="s">
        <v>1552</v>
      </c>
      <c r="F1189" s="404">
        <v>899.1</v>
      </c>
      <c r="G1189" s="397" t="s">
        <v>3044</v>
      </c>
      <c r="H1189" s="389" t="s">
        <v>736</v>
      </c>
      <c r="I1189" s="398" t="s">
        <v>635</v>
      </c>
      <c r="J1189" s="399" t="s">
        <v>636</v>
      </c>
      <c r="K1189" s="390" t="str">
        <f t="shared" si="59"/>
        <v>XXX153830001XX</v>
      </c>
      <c r="L1189" s="391"/>
      <c r="M1189" s="398" t="s">
        <v>712</v>
      </c>
      <c r="N1189" s="399">
        <v>585917163</v>
      </c>
      <c r="O1189" s="399" t="s">
        <v>2098</v>
      </c>
      <c r="P1189" s="398" t="s">
        <v>868</v>
      </c>
    </row>
    <row r="1190" spans="1:16" s="401" customFormat="1" ht="48">
      <c r="A1190" s="429">
        <f t="shared" si="58"/>
        <v>1187</v>
      </c>
      <c r="B1190" s="387">
        <v>46126</v>
      </c>
      <c r="C1190" s="388">
        <v>46113</v>
      </c>
      <c r="D1190" s="392" t="s">
        <v>248</v>
      </c>
      <c r="E1190" s="398" t="s">
        <v>1552</v>
      </c>
      <c r="F1190" s="404">
        <v>2585.1799999999998</v>
      </c>
      <c r="G1190" s="397" t="s">
        <v>3106</v>
      </c>
      <c r="H1190" s="389" t="s">
        <v>736</v>
      </c>
      <c r="I1190" s="398" t="s">
        <v>668</v>
      </c>
      <c r="J1190" s="399" t="s">
        <v>669</v>
      </c>
      <c r="K1190" s="390" t="str">
        <f t="shared" si="59"/>
        <v>XXX077460001XX</v>
      </c>
      <c r="L1190" s="391"/>
      <c r="M1190" s="398" t="s">
        <v>721</v>
      </c>
      <c r="N1190" s="399">
        <v>585917163</v>
      </c>
      <c r="O1190" s="399" t="s">
        <v>2098</v>
      </c>
      <c r="P1190" s="398" t="s">
        <v>868</v>
      </c>
    </row>
    <row r="1191" spans="1:16" s="401" customFormat="1" ht="48">
      <c r="A1191" s="429">
        <f t="shared" si="58"/>
        <v>1188</v>
      </c>
      <c r="B1191" s="387">
        <v>46126</v>
      </c>
      <c r="C1191" s="388">
        <v>46113</v>
      </c>
      <c r="D1191" s="392" t="s">
        <v>248</v>
      </c>
      <c r="E1191" s="398" t="s">
        <v>1552</v>
      </c>
      <c r="F1191" s="404">
        <v>5318.36</v>
      </c>
      <c r="G1191" s="397" t="s">
        <v>3133</v>
      </c>
      <c r="H1191" s="389" t="s">
        <v>736</v>
      </c>
      <c r="I1191" s="398" t="s">
        <v>668</v>
      </c>
      <c r="J1191" s="399" t="s">
        <v>669</v>
      </c>
      <c r="K1191" s="390" t="str">
        <f t="shared" si="59"/>
        <v>XXX077460001XX</v>
      </c>
      <c r="L1191" s="391"/>
      <c r="M1191" s="398" t="s">
        <v>1545</v>
      </c>
      <c r="N1191" s="399">
        <v>585917163</v>
      </c>
      <c r="O1191" s="399" t="s">
        <v>2098</v>
      </c>
      <c r="P1191" s="398" t="s">
        <v>868</v>
      </c>
    </row>
    <row r="1192" spans="1:16" s="401" customFormat="1" ht="48">
      <c r="A1192" s="429">
        <f t="shared" si="58"/>
        <v>1189</v>
      </c>
      <c r="B1192" s="387">
        <v>46126</v>
      </c>
      <c r="C1192" s="388">
        <v>46113</v>
      </c>
      <c r="D1192" s="392" t="s">
        <v>248</v>
      </c>
      <c r="E1192" s="398" t="s">
        <v>1552</v>
      </c>
      <c r="F1192" s="404">
        <v>561.26</v>
      </c>
      <c r="G1192" s="397" t="s">
        <v>3106</v>
      </c>
      <c r="H1192" s="389" t="s">
        <v>736</v>
      </c>
      <c r="I1192" s="398" t="s">
        <v>668</v>
      </c>
      <c r="J1192" s="399" t="s">
        <v>669</v>
      </c>
      <c r="K1192" s="390" t="str">
        <f t="shared" si="59"/>
        <v>XXX077460001XX</v>
      </c>
      <c r="L1192" s="391"/>
      <c r="M1192" s="398" t="s">
        <v>721</v>
      </c>
      <c r="N1192" s="399">
        <v>585917163</v>
      </c>
      <c r="O1192" s="399" t="s">
        <v>2098</v>
      </c>
      <c r="P1192" s="398" t="s">
        <v>868</v>
      </c>
    </row>
    <row r="1193" spans="1:16" s="401" customFormat="1" ht="48">
      <c r="A1193" s="429">
        <f t="shared" si="58"/>
        <v>1190</v>
      </c>
      <c r="B1193" s="387">
        <v>46126</v>
      </c>
      <c r="C1193" s="388">
        <v>46113</v>
      </c>
      <c r="D1193" s="392" t="s">
        <v>248</v>
      </c>
      <c r="E1193" s="398" t="s">
        <v>1552</v>
      </c>
      <c r="F1193" s="404">
        <v>29970</v>
      </c>
      <c r="G1193" s="397" t="s">
        <v>2375</v>
      </c>
      <c r="H1193" s="389" t="s">
        <v>736</v>
      </c>
      <c r="I1193" s="398" t="s">
        <v>2199</v>
      </c>
      <c r="J1193" s="399" t="s">
        <v>770</v>
      </c>
      <c r="K1193" s="390" t="str">
        <f t="shared" si="59"/>
        <v>XXX00000000 XX</v>
      </c>
      <c r="L1193" s="391"/>
      <c r="M1193" s="398" t="s">
        <v>727</v>
      </c>
      <c r="N1193" s="399">
        <v>585917163</v>
      </c>
      <c r="O1193" s="399" t="s">
        <v>2098</v>
      </c>
      <c r="P1193" s="398" t="s">
        <v>868</v>
      </c>
    </row>
    <row r="1194" spans="1:16" s="401" customFormat="1" ht="48">
      <c r="A1194" s="429">
        <f t="shared" si="58"/>
        <v>1191</v>
      </c>
      <c r="B1194" s="387">
        <v>46126</v>
      </c>
      <c r="C1194" s="388">
        <v>46113</v>
      </c>
      <c r="D1194" s="392" t="s">
        <v>248</v>
      </c>
      <c r="E1194" s="398" t="s">
        <v>1552</v>
      </c>
      <c r="F1194" s="404">
        <v>1048.95</v>
      </c>
      <c r="G1194" s="397" t="s">
        <v>2375</v>
      </c>
      <c r="H1194" s="389" t="s">
        <v>736</v>
      </c>
      <c r="I1194" s="398" t="s">
        <v>771</v>
      </c>
      <c r="J1194" s="399" t="s">
        <v>772</v>
      </c>
      <c r="K1194" s="390" t="str">
        <f t="shared" si="59"/>
        <v>XXX000005138XX</v>
      </c>
      <c r="L1194" s="391"/>
      <c r="M1194" s="398" t="s">
        <v>1548</v>
      </c>
      <c r="N1194" s="399">
        <v>585917163</v>
      </c>
      <c r="O1194" s="399" t="s">
        <v>2098</v>
      </c>
      <c r="P1194" s="398" t="s">
        <v>868</v>
      </c>
    </row>
    <row r="1195" spans="1:16" s="401" customFormat="1" ht="48">
      <c r="A1195" s="429">
        <f t="shared" si="58"/>
        <v>1192</v>
      </c>
      <c r="B1195" s="387">
        <v>46126</v>
      </c>
      <c r="C1195" s="388">
        <v>46113</v>
      </c>
      <c r="D1195" s="392" t="s">
        <v>248</v>
      </c>
      <c r="E1195" s="398" t="s">
        <v>1552</v>
      </c>
      <c r="F1195" s="404">
        <v>550</v>
      </c>
      <c r="G1195" s="397" t="s">
        <v>2375</v>
      </c>
      <c r="H1195" s="389" t="s">
        <v>736</v>
      </c>
      <c r="I1195" s="398" t="s">
        <v>771</v>
      </c>
      <c r="J1195" s="399" t="s">
        <v>772</v>
      </c>
      <c r="K1195" s="390" t="str">
        <f t="shared" si="59"/>
        <v>XXX000005138XX</v>
      </c>
      <c r="L1195" s="391"/>
      <c r="M1195" s="398" t="s">
        <v>1549</v>
      </c>
      <c r="N1195" s="399">
        <v>585917163</v>
      </c>
      <c r="O1195" s="399" t="s">
        <v>2098</v>
      </c>
      <c r="P1195" s="398" t="s">
        <v>868</v>
      </c>
    </row>
    <row r="1196" spans="1:16" s="401" customFormat="1" ht="36">
      <c r="A1196" s="429">
        <f t="shared" si="58"/>
        <v>1193</v>
      </c>
      <c r="B1196" s="387">
        <v>46127</v>
      </c>
      <c r="C1196" s="388">
        <v>46082</v>
      </c>
      <c r="D1196" s="392" t="s">
        <v>248</v>
      </c>
      <c r="E1196" s="398" t="s">
        <v>597</v>
      </c>
      <c r="F1196" s="404">
        <v>1265.02</v>
      </c>
      <c r="G1196" s="397" t="s">
        <v>2376</v>
      </c>
      <c r="H1196" s="389" t="s">
        <v>278</v>
      </c>
      <c r="I1196" s="398" t="s">
        <v>698</v>
      </c>
      <c r="J1196" s="399" t="s">
        <v>2200</v>
      </c>
      <c r="K1196" s="390" t="str">
        <f t="shared" si="59"/>
        <v>XXX553420004XX</v>
      </c>
      <c r="L1196" s="391"/>
      <c r="M1196" s="398" t="s">
        <v>708</v>
      </c>
      <c r="N1196" s="399">
        <v>772362</v>
      </c>
      <c r="O1196" s="399" t="s">
        <v>1540</v>
      </c>
      <c r="P1196" s="398" t="s">
        <v>574</v>
      </c>
    </row>
    <row r="1197" spans="1:16" s="401" customFormat="1" ht="36">
      <c r="A1197" s="429">
        <f t="shared" si="58"/>
        <v>1194</v>
      </c>
      <c r="B1197" s="387">
        <v>46127</v>
      </c>
      <c r="C1197" s="388">
        <v>46082</v>
      </c>
      <c r="D1197" s="392" t="s">
        <v>166</v>
      </c>
      <c r="E1197" s="398" t="s">
        <v>603</v>
      </c>
      <c r="F1197" s="491">
        <v>119368.06</v>
      </c>
      <c r="G1197" s="397" t="s">
        <v>2321</v>
      </c>
      <c r="H1197" s="389" t="s">
        <v>166</v>
      </c>
      <c r="I1197" s="398" t="s">
        <v>655</v>
      </c>
      <c r="J1197" s="399" t="s">
        <v>656</v>
      </c>
      <c r="K1197" s="390" t="str">
        <f t="shared" si="59"/>
        <v>XXX131780001XX</v>
      </c>
      <c r="L1197" s="391"/>
      <c r="M1197" s="398" t="s">
        <v>704</v>
      </c>
      <c r="N1197" s="399">
        <v>160830</v>
      </c>
      <c r="O1197" s="399" t="s">
        <v>2111</v>
      </c>
      <c r="P1197" s="398" t="s">
        <v>572</v>
      </c>
    </row>
    <row r="1198" spans="1:16" s="401" customFormat="1" ht="36">
      <c r="A1198" s="429">
        <f t="shared" si="58"/>
        <v>1195</v>
      </c>
      <c r="B1198" s="387">
        <v>46127</v>
      </c>
      <c r="C1198" s="388">
        <v>46082</v>
      </c>
      <c r="D1198" s="392" t="s">
        <v>166</v>
      </c>
      <c r="E1198" s="398" t="s">
        <v>603</v>
      </c>
      <c r="F1198" s="491">
        <v>7906.45</v>
      </c>
      <c r="G1198" s="397" t="s">
        <v>2321</v>
      </c>
      <c r="H1198" s="389" t="s">
        <v>166</v>
      </c>
      <c r="I1198" s="398" t="s">
        <v>657</v>
      </c>
      <c r="J1198" s="399" t="s">
        <v>656</v>
      </c>
      <c r="K1198" s="390" t="str">
        <f t="shared" si="59"/>
        <v>XXX131780001XX</v>
      </c>
      <c r="L1198" s="391"/>
      <c r="M1198" s="398" t="s">
        <v>704</v>
      </c>
      <c r="N1198" s="399">
        <v>108775</v>
      </c>
      <c r="O1198" s="399" t="s">
        <v>1524</v>
      </c>
      <c r="P1198" s="398" t="s">
        <v>572</v>
      </c>
    </row>
    <row r="1199" spans="1:16" s="401" customFormat="1" ht="36">
      <c r="A1199" s="429">
        <f t="shared" si="58"/>
        <v>1196</v>
      </c>
      <c r="B1199" s="387">
        <v>46127</v>
      </c>
      <c r="C1199" s="388">
        <v>46082</v>
      </c>
      <c r="D1199" s="392" t="s">
        <v>248</v>
      </c>
      <c r="E1199" s="398" t="s">
        <v>582</v>
      </c>
      <c r="F1199" s="404">
        <v>8317.24</v>
      </c>
      <c r="G1199" s="397" t="s">
        <v>2377</v>
      </c>
      <c r="H1199" s="389" t="s">
        <v>737</v>
      </c>
      <c r="I1199" s="398" t="s">
        <v>696</v>
      </c>
      <c r="J1199" s="399" t="s">
        <v>697</v>
      </c>
      <c r="K1199" s="390" t="str">
        <f t="shared" si="59"/>
        <v>XXX702470001XX</v>
      </c>
      <c r="L1199" s="391"/>
      <c r="M1199" s="398" t="s">
        <v>704</v>
      </c>
      <c r="N1199" s="399">
        <v>64</v>
      </c>
      <c r="O1199" s="399" t="s">
        <v>1533</v>
      </c>
      <c r="P1199" s="398" t="s">
        <v>574</v>
      </c>
    </row>
    <row r="1200" spans="1:16" s="401" customFormat="1" ht="40.5" customHeight="1">
      <c r="A1200" s="429">
        <f t="shared" si="58"/>
        <v>1197</v>
      </c>
      <c r="B1200" s="387">
        <v>46127</v>
      </c>
      <c r="C1200" s="388">
        <v>46082</v>
      </c>
      <c r="D1200" s="392" t="s">
        <v>353</v>
      </c>
      <c r="E1200" s="480" t="s">
        <v>334</v>
      </c>
      <c r="F1200" s="404">
        <v>100</v>
      </c>
      <c r="G1200" s="397" t="s">
        <v>2378</v>
      </c>
      <c r="H1200" s="389" t="s">
        <v>280</v>
      </c>
      <c r="I1200" s="394" t="s">
        <v>744</v>
      </c>
      <c r="J1200" s="455">
        <v>7837375000150</v>
      </c>
      <c r="K1200" s="390" t="str">
        <f t="shared" si="59"/>
        <v>XXX737500015XX</v>
      </c>
      <c r="L1200" s="391"/>
      <c r="M1200" s="398" t="s">
        <v>719</v>
      </c>
      <c r="N1200" s="399">
        <v>32026</v>
      </c>
      <c r="O1200" s="399" t="s">
        <v>1521</v>
      </c>
      <c r="P1200" s="398" t="s">
        <v>868</v>
      </c>
    </row>
    <row r="1201" spans="1:16" s="401" customFormat="1" ht="52.5" customHeight="1">
      <c r="A1201" s="429">
        <f t="shared" si="58"/>
        <v>1198</v>
      </c>
      <c r="B1201" s="387">
        <v>46128</v>
      </c>
      <c r="C1201" s="388">
        <v>46082</v>
      </c>
      <c r="D1201" s="392" t="s">
        <v>248</v>
      </c>
      <c r="E1201" s="398" t="s">
        <v>593</v>
      </c>
      <c r="F1201" s="404">
        <v>1637.53</v>
      </c>
      <c r="G1201" s="397" t="s">
        <v>3134</v>
      </c>
      <c r="H1201" s="389" t="s">
        <v>736</v>
      </c>
      <c r="I1201" s="398" t="s">
        <v>668</v>
      </c>
      <c r="J1201" s="399" t="s">
        <v>669</v>
      </c>
      <c r="K1201" s="390" t="str">
        <f t="shared" si="59"/>
        <v>XXX077460001XX</v>
      </c>
      <c r="L1201" s="391"/>
      <c r="M1201" s="398" t="s">
        <v>722</v>
      </c>
      <c r="N1201" s="399">
        <v>2</v>
      </c>
      <c r="O1201" s="399" t="s">
        <v>1520</v>
      </c>
      <c r="P1201" s="398" t="s">
        <v>574</v>
      </c>
    </row>
    <row r="1202" spans="1:16" s="401" customFormat="1" ht="102" customHeight="1">
      <c r="A1202" s="429">
        <f t="shared" si="58"/>
        <v>1199</v>
      </c>
      <c r="B1202" s="387">
        <v>46128</v>
      </c>
      <c r="C1202" s="388">
        <v>46082</v>
      </c>
      <c r="D1202" s="392" t="s">
        <v>248</v>
      </c>
      <c r="E1202" s="398" t="s">
        <v>595</v>
      </c>
      <c r="F1202" s="404">
        <v>34.47</v>
      </c>
      <c r="G1202" s="397" t="s">
        <v>3135</v>
      </c>
      <c r="H1202" s="389" t="s">
        <v>278</v>
      </c>
      <c r="I1202" s="398" t="s">
        <v>668</v>
      </c>
      <c r="J1202" s="399" t="s">
        <v>669</v>
      </c>
      <c r="K1202" s="390" t="str">
        <f t="shared" si="59"/>
        <v>XXX077460001XX</v>
      </c>
      <c r="L1202" s="391"/>
      <c r="M1202" s="398" t="s">
        <v>722</v>
      </c>
      <c r="N1202" s="399">
        <v>742</v>
      </c>
      <c r="O1202" s="399" t="s">
        <v>1520</v>
      </c>
      <c r="P1202" s="398" t="s">
        <v>868</v>
      </c>
    </row>
    <row r="1203" spans="1:16" s="401" customFormat="1" ht="96">
      <c r="A1203" s="429">
        <f t="shared" si="58"/>
        <v>1200</v>
      </c>
      <c r="B1203" s="387">
        <v>46128</v>
      </c>
      <c r="C1203" s="388">
        <v>46082</v>
      </c>
      <c r="D1203" s="392" t="s">
        <v>248</v>
      </c>
      <c r="E1203" s="398" t="s">
        <v>595</v>
      </c>
      <c r="F1203" s="404">
        <v>252.78</v>
      </c>
      <c r="G1203" s="397" t="s">
        <v>3091</v>
      </c>
      <c r="H1203" s="389" t="s">
        <v>278</v>
      </c>
      <c r="I1203" s="398" t="s">
        <v>672</v>
      </c>
      <c r="J1203" s="399" t="s">
        <v>673</v>
      </c>
      <c r="K1203" s="390" t="str">
        <f t="shared" si="59"/>
        <v>XXX944600058XX</v>
      </c>
      <c r="L1203" s="391"/>
      <c r="M1203" s="398" t="s">
        <v>723</v>
      </c>
      <c r="N1203" s="399">
        <v>742</v>
      </c>
      <c r="O1203" s="399" t="s">
        <v>1520</v>
      </c>
      <c r="P1203" s="398" t="s">
        <v>868</v>
      </c>
    </row>
    <row r="1204" spans="1:16" s="401" customFormat="1" ht="72">
      <c r="A1204" s="429">
        <f t="shared" si="58"/>
        <v>1201</v>
      </c>
      <c r="B1204" s="387">
        <v>46128</v>
      </c>
      <c r="C1204" s="388">
        <v>46082</v>
      </c>
      <c r="D1204" s="392" t="s">
        <v>248</v>
      </c>
      <c r="E1204" s="482" t="s">
        <v>78</v>
      </c>
      <c r="F1204" s="404">
        <v>58.64</v>
      </c>
      <c r="G1204" s="397" t="s">
        <v>3136</v>
      </c>
      <c r="H1204" s="389" t="s">
        <v>1029</v>
      </c>
      <c r="I1204" s="398" t="s">
        <v>668</v>
      </c>
      <c r="J1204" s="399" t="s">
        <v>669</v>
      </c>
      <c r="K1204" s="390" t="str">
        <f t="shared" si="59"/>
        <v>XXX077460001XX</v>
      </c>
      <c r="L1204" s="391"/>
      <c r="M1204" s="398" t="s">
        <v>722</v>
      </c>
      <c r="N1204" s="399">
        <v>591</v>
      </c>
      <c r="O1204" s="399" t="s">
        <v>1526</v>
      </c>
      <c r="P1204" s="398" t="s">
        <v>574</v>
      </c>
    </row>
    <row r="1205" spans="1:16" s="401" customFormat="1" ht="72">
      <c r="A1205" s="429">
        <f t="shared" si="58"/>
        <v>1202</v>
      </c>
      <c r="B1205" s="387">
        <v>46128</v>
      </c>
      <c r="C1205" s="388">
        <v>46082</v>
      </c>
      <c r="D1205" s="392" t="s">
        <v>248</v>
      </c>
      <c r="E1205" s="482" t="s">
        <v>78</v>
      </c>
      <c r="F1205" s="404">
        <v>645.07000000000005</v>
      </c>
      <c r="G1205" s="397" t="s">
        <v>3092</v>
      </c>
      <c r="H1205" s="389" t="s">
        <v>1029</v>
      </c>
      <c r="I1205" s="398" t="s">
        <v>672</v>
      </c>
      <c r="J1205" s="399" t="s">
        <v>673</v>
      </c>
      <c r="K1205" s="390" t="str">
        <f t="shared" si="59"/>
        <v>XXX944600058XX</v>
      </c>
      <c r="L1205" s="391"/>
      <c r="M1205" s="398" t="s">
        <v>723</v>
      </c>
      <c r="N1205" s="399">
        <v>591</v>
      </c>
      <c r="O1205" s="399" t="s">
        <v>1526</v>
      </c>
      <c r="P1205" s="398" t="s">
        <v>574</v>
      </c>
    </row>
    <row r="1206" spans="1:16" s="401" customFormat="1" ht="48">
      <c r="A1206" s="429">
        <f t="shared" si="58"/>
        <v>1203</v>
      </c>
      <c r="B1206" s="387">
        <v>46128</v>
      </c>
      <c r="C1206" s="388">
        <v>46082</v>
      </c>
      <c r="D1206" s="392" t="s">
        <v>248</v>
      </c>
      <c r="E1206" s="398" t="s">
        <v>602</v>
      </c>
      <c r="F1206" s="404">
        <v>41.25</v>
      </c>
      <c r="G1206" s="397" t="s">
        <v>3137</v>
      </c>
      <c r="H1206" s="389" t="s">
        <v>278</v>
      </c>
      <c r="I1206" s="398" t="s">
        <v>668</v>
      </c>
      <c r="J1206" s="399" t="s">
        <v>669</v>
      </c>
      <c r="K1206" s="390" t="str">
        <f t="shared" si="59"/>
        <v>XXX077460001XX</v>
      </c>
      <c r="L1206" s="391"/>
      <c r="M1206" s="398" t="s">
        <v>722</v>
      </c>
      <c r="N1206" s="399">
        <v>176</v>
      </c>
      <c r="O1206" s="399" t="s">
        <v>1526</v>
      </c>
      <c r="P1206" s="398" t="s">
        <v>574</v>
      </c>
    </row>
    <row r="1207" spans="1:16" s="401" customFormat="1" ht="36">
      <c r="A1207" s="429">
        <f t="shared" si="58"/>
        <v>1204</v>
      </c>
      <c r="B1207" s="387">
        <v>46128</v>
      </c>
      <c r="C1207" s="388">
        <v>46082</v>
      </c>
      <c r="D1207" s="392" t="s">
        <v>248</v>
      </c>
      <c r="E1207" s="482" t="s">
        <v>78</v>
      </c>
      <c r="F1207" s="404">
        <v>39.64</v>
      </c>
      <c r="G1207" s="397" t="s">
        <v>3138</v>
      </c>
      <c r="H1207" s="389" t="s">
        <v>738</v>
      </c>
      <c r="I1207" s="398" t="s">
        <v>668</v>
      </c>
      <c r="J1207" s="399" t="s">
        <v>669</v>
      </c>
      <c r="K1207" s="390" t="str">
        <f t="shared" si="59"/>
        <v>XXX077460001XX</v>
      </c>
      <c r="L1207" s="391"/>
      <c r="M1207" s="398" t="s">
        <v>722</v>
      </c>
      <c r="N1207" s="399">
        <v>382</v>
      </c>
      <c r="O1207" s="399" t="s">
        <v>1540</v>
      </c>
      <c r="P1207" s="398" t="s">
        <v>868</v>
      </c>
    </row>
    <row r="1208" spans="1:16" s="401" customFormat="1" ht="48">
      <c r="A1208" s="429">
        <f t="shared" si="58"/>
        <v>1205</v>
      </c>
      <c r="B1208" s="387">
        <v>46128</v>
      </c>
      <c r="C1208" s="388">
        <v>46082</v>
      </c>
      <c r="D1208" s="392" t="s">
        <v>248</v>
      </c>
      <c r="E1208" s="398" t="s">
        <v>604</v>
      </c>
      <c r="F1208" s="404">
        <v>119.59</v>
      </c>
      <c r="G1208" s="397" t="s">
        <v>3139</v>
      </c>
      <c r="H1208" s="389" t="s">
        <v>1029</v>
      </c>
      <c r="I1208" s="398" t="s">
        <v>668</v>
      </c>
      <c r="J1208" s="399" t="s">
        <v>669</v>
      </c>
      <c r="K1208" s="390" t="str">
        <f t="shared" si="59"/>
        <v>XXX077460001XX</v>
      </c>
      <c r="L1208" s="391"/>
      <c r="M1208" s="398" t="s">
        <v>722</v>
      </c>
      <c r="N1208" s="399">
        <v>2280763</v>
      </c>
      <c r="O1208" s="399" t="s">
        <v>1536</v>
      </c>
      <c r="P1208" s="398" t="s">
        <v>868</v>
      </c>
    </row>
    <row r="1209" spans="1:16" s="401" customFormat="1" ht="48">
      <c r="A1209" s="429">
        <f t="shared" si="58"/>
        <v>1206</v>
      </c>
      <c r="B1209" s="387">
        <v>46128</v>
      </c>
      <c r="C1209" s="388">
        <v>46082</v>
      </c>
      <c r="D1209" s="392" t="s">
        <v>248</v>
      </c>
      <c r="E1209" s="398" t="s">
        <v>604</v>
      </c>
      <c r="F1209" s="404">
        <v>1315.48</v>
      </c>
      <c r="G1209" s="397" t="s">
        <v>3093</v>
      </c>
      <c r="H1209" s="389" t="s">
        <v>1029</v>
      </c>
      <c r="I1209" s="398" t="s">
        <v>672</v>
      </c>
      <c r="J1209" s="399" t="s">
        <v>673</v>
      </c>
      <c r="K1209" s="390" t="str">
        <f t="shared" si="59"/>
        <v>XXX944600058XX</v>
      </c>
      <c r="L1209" s="391"/>
      <c r="M1209" s="398" t="s">
        <v>723</v>
      </c>
      <c r="N1209" s="399">
        <v>2280763</v>
      </c>
      <c r="O1209" s="399" t="s">
        <v>1536</v>
      </c>
      <c r="P1209" s="398" t="s">
        <v>868</v>
      </c>
    </row>
    <row r="1210" spans="1:16" s="401" customFormat="1" ht="48">
      <c r="A1210" s="429">
        <f t="shared" si="58"/>
        <v>1207</v>
      </c>
      <c r="B1210" s="387">
        <v>46128</v>
      </c>
      <c r="C1210" s="388">
        <v>46082</v>
      </c>
      <c r="D1210" s="392" t="s">
        <v>248</v>
      </c>
      <c r="E1210" s="482" t="s">
        <v>87</v>
      </c>
      <c r="F1210" s="404">
        <v>1386.34</v>
      </c>
      <c r="G1210" s="397" t="s">
        <v>2379</v>
      </c>
      <c r="H1210" s="389" t="s">
        <v>278</v>
      </c>
      <c r="I1210" s="398" t="s">
        <v>674</v>
      </c>
      <c r="J1210" s="399" t="s">
        <v>675</v>
      </c>
      <c r="K1210" s="390" t="str">
        <f t="shared" si="59"/>
        <v>XXX414630001XX</v>
      </c>
      <c r="L1210" s="391"/>
      <c r="M1210" s="398" t="s">
        <v>704</v>
      </c>
      <c r="N1210" s="399">
        <v>2034</v>
      </c>
      <c r="O1210" s="399" t="s">
        <v>1525</v>
      </c>
      <c r="P1210" s="398" t="s">
        <v>574</v>
      </c>
    </row>
    <row r="1211" spans="1:16" s="401" customFormat="1" ht="36">
      <c r="A1211" s="429">
        <f t="shared" si="58"/>
        <v>1208</v>
      </c>
      <c r="B1211" s="387">
        <v>46128</v>
      </c>
      <c r="C1211" s="388">
        <v>46082</v>
      </c>
      <c r="D1211" s="392" t="s">
        <v>132</v>
      </c>
      <c r="E1211" s="398" t="s">
        <v>1220</v>
      </c>
      <c r="F1211" s="404">
        <v>14067</v>
      </c>
      <c r="G1211" s="397" t="s">
        <v>2072</v>
      </c>
      <c r="H1211" s="389" t="s">
        <v>736</v>
      </c>
      <c r="I1211" s="398" t="s">
        <v>2139</v>
      </c>
      <c r="J1211" s="399" t="s">
        <v>2140</v>
      </c>
      <c r="K1211" s="390" t="str">
        <f t="shared" si="59"/>
        <v>XXX461720001XX</v>
      </c>
      <c r="L1211" s="391"/>
      <c r="M1211" s="398" t="s">
        <v>704</v>
      </c>
      <c r="N1211" s="399">
        <v>59378</v>
      </c>
      <c r="O1211" s="399" t="s">
        <v>1537</v>
      </c>
      <c r="P1211" s="398" t="s">
        <v>868</v>
      </c>
    </row>
    <row r="1212" spans="1:16" s="401" customFormat="1" ht="36">
      <c r="A1212" s="429">
        <f t="shared" si="58"/>
        <v>1209</v>
      </c>
      <c r="B1212" s="387">
        <v>46128</v>
      </c>
      <c r="C1212" s="388">
        <v>46054</v>
      </c>
      <c r="D1212" s="392" t="s">
        <v>248</v>
      </c>
      <c r="E1212" s="481" t="s">
        <v>142</v>
      </c>
      <c r="F1212" s="404">
        <v>136184.4</v>
      </c>
      <c r="G1212" s="397" t="s">
        <v>2521</v>
      </c>
      <c r="H1212" s="389" t="s">
        <v>738</v>
      </c>
      <c r="I1212" s="398" t="s">
        <v>653</v>
      </c>
      <c r="J1212" s="399" t="s">
        <v>654</v>
      </c>
      <c r="K1212" s="390" t="str">
        <f t="shared" ref="K1212:K1235" si="60">IF(J1212="","",IF(LEN(J1212)&gt;14,IF(ISBLANK(J1212),"",J1212),REPLACE(REPLACE(J1212,1,3,"XXX"),13,2,"XX")))</f>
        <v>XXX682190001XX</v>
      </c>
      <c r="L1212" s="391"/>
      <c r="M1212" s="398" t="s">
        <v>708</v>
      </c>
      <c r="N1212" s="399">
        <v>74861</v>
      </c>
      <c r="O1212" s="399" t="s">
        <v>1523</v>
      </c>
      <c r="P1212" s="398" t="s">
        <v>574</v>
      </c>
    </row>
    <row r="1213" spans="1:16" s="401" customFormat="1" ht="36">
      <c r="A1213" s="429">
        <f t="shared" ref="A1213" si="61">IF(B1213="","",ROW()-ROW($A$3))</f>
        <v>1210</v>
      </c>
      <c r="B1213" s="387">
        <v>46128</v>
      </c>
      <c r="C1213" s="388">
        <v>46054</v>
      </c>
      <c r="D1213" s="392" t="s">
        <v>248</v>
      </c>
      <c r="E1213" s="481" t="s">
        <v>142</v>
      </c>
      <c r="F1213" s="404">
        <v>-68523.69</v>
      </c>
      <c r="G1213" s="397" t="s">
        <v>2522</v>
      </c>
      <c r="H1213" s="389" t="s">
        <v>738</v>
      </c>
      <c r="I1213" s="398" t="s">
        <v>653</v>
      </c>
      <c r="J1213" s="399" t="s">
        <v>654</v>
      </c>
      <c r="K1213" s="390" t="str">
        <f t="shared" si="60"/>
        <v>XXX682190001XX</v>
      </c>
      <c r="L1213" s="391"/>
      <c r="M1213" s="398" t="s">
        <v>708</v>
      </c>
      <c r="N1213" s="399">
        <v>74861</v>
      </c>
      <c r="O1213" s="399" t="s">
        <v>1523</v>
      </c>
      <c r="P1213" s="398" t="s">
        <v>574</v>
      </c>
    </row>
    <row r="1214" spans="1:16" s="401" customFormat="1" ht="36">
      <c r="A1214" s="429"/>
      <c r="B1214" s="387">
        <v>46128</v>
      </c>
      <c r="C1214" s="388">
        <v>46054</v>
      </c>
      <c r="D1214" s="392" t="s">
        <v>248</v>
      </c>
      <c r="E1214" s="481" t="s">
        <v>142</v>
      </c>
      <c r="F1214" s="404">
        <v>2592.5</v>
      </c>
      <c r="G1214" s="397" t="s">
        <v>2380</v>
      </c>
      <c r="H1214" s="389" t="s">
        <v>738</v>
      </c>
      <c r="I1214" s="398" t="s">
        <v>653</v>
      </c>
      <c r="J1214" s="399" t="s">
        <v>654</v>
      </c>
      <c r="K1214" s="390" t="str">
        <f t="shared" si="60"/>
        <v>XXX682190001XX</v>
      </c>
      <c r="L1214" s="391"/>
      <c r="M1214" s="398" t="s">
        <v>708</v>
      </c>
      <c r="N1214" s="399">
        <v>74861</v>
      </c>
      <c r="O1214" s="399" t="s">
        <v>1523</v>
      </c>
      <c r="P1214" s="398" t="s">
        <v>574</v>
      </c>
    </row>
    <row r="1215" spans="1:16" s="401" customFormat="1" ht="36">
      <c r="A1215" s="429">
        <f t="shared" ref="A1215:A1277" si="62">IF(B1215="","",ROW()-ROW($A$3))</f>
        <v>1212</v>
      </c>
      <c r="B1215" s="387">
        <v>46128</v>
      </c>
      <c r="C1215" s="388">
        <v>46054</v>
      </c>
      <c r="D1215" s="392" t="s">
        <v>248</v>
      </c>
      <c r="E1215" s="481" t="s">
        <v>142</v>
      </c>
      <c r="F1215" s="404">
        <v>53488.800000000003</v>
      </c>
      <c r="G1215" s="397" t="s">
        <v>2380</v>
      </c>
      <c r="H1215" s="389" t="s">
        <v>738</v>
      </c>
      <c r="I1215" s="398" t="s">
        <v>653</v>
      </c>
      <c r="J1215" s="399" t="s">
        <v>654</v>
      </c>
      <c r="K1215" s="390" t="str">
        <f t="shared" si="60"/>
        <v>XXX682190001XX</v>
      </c>
      <c r="L1215" s="391"/>
      <c r="M1215" s="398" t="s">
        <v>708</v>
      </c>
      <c r="N1215" s="399">
        <v>74861</v>
      </c>
      <c r="O1215" s="399" t="s">
        <v>1523</v>
      </c>
      <c r="P1215" s="398" t="s">
        <v>574</v>
      </c>
    </row>
    <row r="1216" spans="1:16" s="401" customFormat="1" ht="36">
      <c r="A1216" s="429">
        <f t="shared" si="62"/>
        <v>1213</v>
      </c>
      <c r="B1216" s="387">
        <v>46128</v>
      </c>
      <c r="C1216" s="388">
        <v>46054</v>
      </c>
      <c r="D1216" s="392" t="s">
        <v>248</v>
      </c>
      <c r="E1216" s="481" t="s">
        <v>142</v>
      </c>
      <c r="F1216" s="404">
        <v>1693.98</v>
      </c>
      <c r="G1216" s="397" t="s">
        <v>2381</v>
      </c>
      <c r="H1216" s="389" t="s">
        <v>738</v>
      </c>
      <c r="I1216" s="398" t="s">
        <v>653</v>
      </c>
      <c r="J1216" s="399" t="s">
        <v>654</v>
      </c>
      <c r="K1216" s="390" t="str">
        <f t="shared" si="60"/>
        <v>XXX682190001XX</v>
      </c>
      <c r="L1216" s="391"/>
      <c r="M1216" s="398" t="s">
        <v>708</v>
      </c>
      <c r="N1216" s="399">
        <v>74861</v>
      </c>
      <c r="O1216" s="399" t="s">
        <v>1523</v>
      </c>
      <c r="P1216" s="398" t="s">
        <v>574</v>
      </c>
    </row>
    <row r="1217" spans="1:16" s="401" customFormat="1" ht="36">
      <c r="A1217" s="429">
        <f t="shared" si="62"/>
        <v>1214</v>
      </c>
      <c r="B1217" s="387">
        <v>46128</v>
      </c>
      <c r="C1217" s="388">
        <v>46054</v>
      </c>
      <c r="D1217" s="392" t="s">
        <v>248</v>
      </c>
      <c r="E1217" s="481" t="s">
        <v>142</v>
      </c>
      <c r="F1217" s="404">
        <v>45071.519999999997</v>
      </c>
      <c r="G1217" s="397" t="s">
        <v>2382</v>
      </c>
      <c r="H1217" s="389" t="s">
        <v>738</v>
      </c>
      <c r="I1217" s="398" t="s">
        <v>653</v>
      </c>
      <c r="J1217" s="399" t="s">
        <v>654</v>
      </c>
      <c r="K1217" s="390" t="str">
        <f t="shared" si="60"/>
        <v>XXX682190001XX</v>
      </c>
      <c r="L1217" s="391"/>
      <c r="M1217" s="398" t="s">
        <v>708</v>
      </c>
      <c r="N1217" s="399">
        <v>74861</v>
      </c>
      <c r="O1217" s="399" t="s">
        <v>1523</v>
      </c>
      <c r="P1217" s="398" t="s">
        <v>574</v>
      </c>
    </row>
    <row r="1218" spans="1:16" s="401" customFormat="1" ht="36">
      <c r="A1218" s="429">
        <f t="shared" si="62"/>
        <v>1215</v>
      </c>
      <c r="B1218" s="387">
        <v>46128</v>
      </c>
      <c r="C1218" s="388">
        <v>46054</v>
      </c>
      <c r="D1218" s="392" t="s">
        <v>248</v>
      </c>
      <c r="E1218" s="481" t="s">
        <v>142</v>
      </c>
      <c r="F1218" s="404">
        <v>5254.13</v>
      </c>
      <c r="G1218" s="397" t="s">
        <v>2383</v>
      </c>
      <c r="H1218" s="389" t="s">
        <v>738</v>
      </c>
      <c r="I1218" s="398" t="s">
        <v>653</v>
      </c>
      <c r="J1218" s="399" t="s">
        <v>654</v>
      </c>
      <c r="K1218" s="390" t="str">
        <f t="shared" si="60"/>
        <v>XXX682190001XX</v>
      </c>
      <c r="L1218" s="391"/>
      <c r="M1218" s="398" t="s">
        <v>708</v>
      </c>
      <c r="N1218" s="399">
        <v>74861</v>
      </c>
      <c r="O1218" s="399" t="s">
        <v>1523</v>
      </c>
      <c r="P1218" s="398" t="s">
        <v>574</v>
      </c>
    </row>
    <row r="1219" spans="1:16" s="401" customFormat="1" ht="36">
      <c r="A1219" s="429">
        <f t="shared" si="62"/>
        <v>1216</v>
      </c>
      <c r="B1219" s="387">
        <v>46128</v>
      </c>
      <c r="C1219" s="388">
        <v>46054</v>
      </c>
      <c r="D1219" s="392" t="s">
        <v>248</v>
      </c>
      <c r="E1219" s="481" t="s">
        <v>142</v>
      </c>
      <c r="F1219" s="404">
        <v>2759.62</v>
      </c>
      <c r="G1219" s="397" t="s">
        <v>2383</v>
      </c>
      <c r="H1219" s="389" t="s">
        <v>738</v>
      </c>
      <c r="I1219" s="398" t="s">
        <v>653</v>
      </c>
      <c r="J1219" s="399" t="s">
        <v>654</v>
      </c>
      <c r="K1219" s="390" t="str">
        <f t="shared" si="60"/>
        <v>XXX682190001XX</v>
      </c>
      <c r="L1219" s="391"/>
      <c r="M1219" s="398" t="s">
        <v>708</v>
      </c>
      <c r="N1219" s="399">
        <v>74861</v>
      </c>
      <c r="O1219" s="399" t="s">
        <v>1523</v>
      </c>
      <c r="P1219" s="398" t="s">
        <v>574</v>
      </c>
    </row>
    <row r="1220" spans="1:16" s="401" customFormat="1" ht="36">
      <c r="A1220" s="429">
        <f t="shared" si="62"/>
        <v>1217</v>
      </c>
      <c r="B1220" s="387">
        <v>46128</v>
      </c>
      <c r="C1220" s="388">
        <v>46082</v>
      </c>
      <c r="D1220" s="392" t="s">
        <v>166</v>
      </c>
      <c r="E1220" s="398" t="s">
        <v>603</v>
      </c>
      <c r="F1220" s="491">
        <v>37.31</v>
      </c>
      <c r="G1220" s="397" t="s">
        <v>3107</v>
      </c>
      <c r="H1220" s="389" t="s">
        <v>166</v>
      </c>
      <c r="I1220" s="398" t="s">
        <v>668</v>
      </c>
      <c r="J1220" s="399" t="s">
        <v>669</v>
      </c>
      <c r="K1220" s="390" t="str">
        <f t="shared" si="60"/>
        <v>XXX077460001XX</v>
      </c>
      <c r="L1220" s="391"/>
      <c r="M1220" s="398" t="s">
        <v>721</v>
      </c>
      <c r="N1220" s="399">
        <v>108775</v>
      </c>
      <c r="O1220" s="399" t="s">
        <v>1524</v>
      </c>
      <c r="P1220" s="398" t="s">
        <v>572</v>
      </c>
    </row>
    <row r="1221" spans="1:16" s="401" customFormat="1" ht="36">
      <c r="A1221" s="429">
        <f t="shared" si="62"/>
        <v>1218</v>
      </c>
      <c r="B1221" s="387">
        <v>46128</v>
      </c>
      <c r="C1221" s="388">
        <v>46082</v>
      </c>
      <c r="D1221" s="392" t="s">
        <v>166</v>
      </c>
      <c r="E1221" s="398" t="s">
        <v>603</v>
      </c>
      <c r="F1221" s="491">
        <v>111.93</v>
      </c>
      <c r="G1221" s="397" t="s">
        <v>3107</v>
      </c>
      <c r="H1221" s="389" t="s">
        <v>166</v>
      </c>
      <c r="I1221" s="398" t="s">
        <v>668</v>
      </c>
      <c r="J1221" s="399" t="s">
        <v>669</v>
      </c>
      <c r="K1221" s="390" t="str">
        <f t="shared" si="60"/>
        <v>XXX077460001XX</v>
      </c>
      <c r="L1221" s="391"/>
      <c r="M1221" s="398" t="s">
        <v>721</v>
      </c>
      <c r="N1221" s="399">
        <v>108775</v>
      </c>
      <c r="O1221" s="399" t="s">
        <v>1524</v>
      </c>
      <c r="P1221" s="398" t="s">
        <v>572</v>
      </c>
    </row>
    <row r="1222" spans="1:16" s="401" customFormat="1" ht="36">
      <c r="A1222" s="429">
        <f t="shared" si="62"/>
        <v>1219</v>
      </c>
      <c r="B1222" s="387">
        <v>46128</v>
      </c>
      <c r="C1222" s="388">
        <v>46082</v>
      </c>
      <c r="D1222" s="392" t="s">
        <v>166</v>
      </c>
      <c r="E1222" s="398" t="s">
        <v>603</v>
      </c>
      <c r="F1222" s="491">
        <v>24.25</v>
      </c>
      <c r="G1222" s="397" t="s">
        <v>3107</v>
      </c>
      <c r="H1222" s="389" t="s">
        <v>166</v>
      </c>
      <c r="I1222" s="398" t="s">
        <v>668</v>
      </c>
      <c r="J1222" s="399" t="s">
        <v>669</v>
      </c>
      <c r="K1222" s="390" t="str">
        <f t="shared" si="60"/>
        <v>XXX077460001XX</v>
      </c>
      <c r="L1222" s="391"/>
      <c r="M1222" s="398" t="s">
        <v>721</v>
      </c>
      <c r="N1222" s="399">
        <v>108775</v>
      </c>
      <c r="O1222" s="399" t="s">
        <v>1524</v>
      </c>
      <c r="P1222" s="398" t="s">
        <v>572</v>
      </c>
    </row>
    <row r="1223" spans="1:16" s="401" customFormat="1" ht="36">
      <c r="A1223" s="429">
        <f t="shared" si="62"/>
        <v>1220</v>
      </c>
      <c r="B1223" s="387">
        <v>46128</v>
      </c>
      <c r="C1223" s="388">
        <v>46082</v>
      </c>
      <c r="D1223" s="392" t="s">
        <v>166</v>
      </c>
      <c r="E1223" s="398" t="s">
        <v>603</v>
      </c>
      <c r="F1223" s="491">
        <v>55.97</v>
      </c>
      <c r="G1223" s="397" t="s">
        <v>3140</v>
      </c>
      <c r="H1223" s="389" t="s">
        <v>166</v>
      </c>
      <c r="I1223" s="398" t="s">
        <v>668</v>
      </c>
      <c r="J1223" s="399" t="s">
        <v>669</v>
      </c>
      <c r="K1223" s="390" t="str">
        <f t="shared" si="60"/>
        <v>XXX077460001XX</v>
      </c>
      <c r="L1223" s="391"/>
      <c r="M1223" s="398" t="s">
        <v>724</v>
      </c>
      <c r="N1223" s="399">
        <v>108775</v>
      </c>
      <c r="O1223" s="399" t="s">
        <v>1524</v>
      </c>
      <c r="P1223" s="398" t="s">
        <v>572</v>
      </c>
    </row>
    <row r="1224" spans="1:16" s="401" customFormat="1" ht="100.5" customHeight="1">
      <c r="A1224" s="429">
        <f t="shared" si="62"/>
        <v>1221</v>
      </c>
      <c r="B1224" s="387">
        <v>46128</v>
      </c>
      <c r="C1224" s="388">
        <v>46082</v>
      </c>
      <c r="D1224" s="392" t="s">
        <v>248</v>
      </c>
      <c r="E1224" s="398" t="s">
        <v>758</v>
      </c>
      <c r="F1224" s="404">
        <v>966.89</v>
      </c>
      <c r="G1224" s="397" t="s">
        <v>3141</v>
      </c>
      <c r="H1224" s="392" t="s">
        <v>738</v>
      </c>
      <c r="I1224" s="398" t="s">
        <v>668</v>
      </c>
      <c r="J1224" s="399" t="s">
        <v>669</v>
      </c>
      <c r="K1224" s="390" t="str">
        <f t="shared" si="60"/>
        <v>XXX077460001XX</v>
      </c>
      <c r="L1224" s="391"/>
      <c r="M1224" s="398" t="s">
        <v>722</v>
      </c>
      <c r="N1224" s="399">
        <v>216</v>
      </c>
      <c r="O1224" s="399" t="s">
        <v>1542</v>
      </c>
      <c r="P1224" s="398" t="s">
        <v>574</v>
      </c>
    </row>
    <row r="1225" spans="1:16" s="401" customFormat="1" ht="99.75" customHeight="1">
      <c r="A1225" s="429">
        <f t="shared" si="62"/>
        <v>1222</v>
      </c>
      <c r="B1225" s="387">
        <v>46128</v>
      </c>
      <c r="C1225" s="388">
        <v>46082</v>
      </c>
      <c r="D1225" s="392" t="s">
        <v>248</v>
      </c>
      <c r="E1225" s="398" t="s">
        <v>758</v>
      </c>
      <c r="F1225" s="404">
        <v>10635.79</v>
      </c>
      <c r="G1225" s="397" t="s">
        <v>3094</v>
      </c>
      <c r="H1225" s="392" t="s">
        <v>738</v>
      </c>
      <c r="I1225" s="398" t="s">
        <v>672</v>
      </c>
      <c r="J1225" s="399" t="s">
        <v>673</v>
      </c>
      <c r="K1225" s="390" t="str">
        <f t="shared" si="60"/>
        <v>XXX944600058XX</v>
      </c>
      <c r="L1225" s="391"/>
      <c r="M1225" s="398" t="s">
        <v>723</v>
      </c>
      <c r="N1225" s="399">
        <v>216</v>
      </c>
      <c r="O1225" s="399" t="s">
        <v>1542</v>
      </c>
      <c r="P1225" s="398" t="s">
        <v>574</v>
      </c>
    </row>
    <row r="1226" spans="1:16" s="401" customFormat="1" ht="36">
      <c r="A1226" s="429">
        <f t="shared" si="62"/>
        <v>1223</v>
      </c>
      <c r="B1226" s="387">
        <v>46128</v>
      </c>
      <c r="C1226" s="388">
        <v>46082</v>
      </c>
      <c r="D1226" s="392" t="s">
        <v>248</v>
      </c>
      <c r="E1226" s="398" t="s">
        <v>595</v>
      </c>
      <c r="F1226" s="404">
        <v>35</v>
      </c>
      <c r="G1226" s="397" t="s">
        <v>3142</v>
      </c>
      <c r="H1226" s="389" t="s">
        <v>738</v>
      </c>
      <c r="I1226" s="398" t="s">
        <v>668</v>
      </c>
      <c r="J1226" s="399" t="s">
        <v>669</v>
      </c>
      <c r="K1226" s="390" t="str">
        <f t="shared" si="60"/>
        <v>XXX077460001XX</v>
      </c>
      <c r="L1226" s="391"/>
      <c r="M1226" s="398" t="s">
        <v>722</v>
      </c>
      <c r="N1226" s="399">
        <v>20922</v>
      </c>
      <c r="O1226" s="399" t="s">
        <v>1522</v>
      </c>
      <c r="P1226" s="398" t="s">
        <v>868</v>
      </c>
    </row>
    <row r="1227" spans="1:16" s="401" customFormat="1" ht="36">
      <c r="A1227" s="429">
        <f t="shared" si="62"/>
        <v>1224</v>
      </c>
      <c r="B1227" s="387">
        <v>46128</v>
      </c>
      <c r="C1227" s="388">
        <v>46082</v>
      </c>
      <c r="D1227" s="392" t="s">
        <v>166</v>
      </c>
      <c r="E1227" s="398" t="s">
        <v>581</v>
      </c>
      <c r="F1227" s="404">
        <v>10.94</v>
      </c>
      <c r="G1227" s="397" t="s">
        <v>3143</v>
      </c>
      <c r="H1227" s="389" t="s">
        <v>166</v>
      </c>
      <c r="I1227" s="398" t="s">
        <v>668</v>
      </c>
      <c r="J1227" s="399" t="s">
        <v>669</v>
      </c>
      <c r="K1227" s="390" t="str">
        <f t="shared" si="60"/>
        <v>XXX077460001XX</v>
      </c>
      <c r="L1227" s="391"/>
      <c r="M1227" s="398" t="s">
        <v>722</v>
      </c>
      <c r="N1227" s="399">
        <v>11191</v>
      </c>
      <c r="O1227" s="399" t="s">
        <v>1540</v>
      </c>
      <c r="P1227" s="398" t="s">
        <v>574</v>
      </c>
    </row>
    <row r="1228" spans="1:16" s="401" customFormat="1" ht="60">
      <c r="A1228" s="429">
        <f t="shared" si="62"/>
        <v>1225</v>
      </c>
      <c r="B1228" s="387">
        <v>46128</v>
      </c>
      <c r="C1228" s="388">
        <v>46082</v>
      </c>
      <c r="D1228" s="392" t="s">
        <v>248</v>
      </c>
      <c r="E1228" s="482" t="s">
        <v>78</v>
      </c>
      <c r="F1228" s="404">
        <v>92.4</v>
      </c>
      <c r="G1228" s="397" t="s">
        <v>3095</v>
      </c>
      <c r="H1228" s="389" t="s">
        <v>736</v>
      </c>
      <c r="I1228" s="398" t="s">
        <v>672</v>
      </c>
      <c r="J1228" s="399" t="s">
        <v>673</v>
      </c>
      <c r="K1228" s="390" t="str">
        <f t="shared" si="60"/>
        <v>XXX944600058XX</v>
      </c>
      <c r="L1228" s="391"/>
      <c r="M1228" s="398" t="s">
        <v>723</v>
      </c>
      <c r="N1228" s="399">
        <v>15</v>
      </c>
      <c r="O1228" s="399" t="s">
        <v>1538</v>
      </c>
      <c r="P1228" s="398" t="s">
        <v>868</v>
      </c>
    </row>
    <row r="1229" spans="1:16" s="401" customFormat="1" ht="36">
      <c r="A1229" s="429">
        <f t="shared" si="62"/>
        <v>1226</v>
      </c>
      <c r="B1229" s="387">
        <v>46128</v>
      </c>
      <c r="C1229" s="388">
        <v>46113</v>
      </c>
      <c r="D1229" s="389" t="s">
        <v>132</v>
      </c>
      <c r="E1229" s="483" t="s">
        <v>213</v>
      </c>
      <c r="F1229" s="404">
        <v>1064</v>
      </c>
      <c r="G1229" s="397" t="s">
        <v>2384</v>
      </c>
      <c r="H1229" s="389" t="s">
        <v>278</v>
      </c>
      <c r="I1229" s="398" t="s">
        <v>2201</v>
      </c>
      <c r="J1229" s="399" t="s">
        <v>2202</v>
      </c>
      <c r="K1229" s="390" t="str">
        <f t="shared" si="60"/>
        <v>XXX200540001XX</v>
      </c>
      <c r="L1229" s="391"/>
      <c r="M1229" s="398" t="s">
        <v>708</v>
      </c>
      <c r="N1229" s="399">
        <v>100365</v>
      </c>
      <c r="O1229" s="399" t="s">
        <v>2090</v>
      </c>
      <c r="P1229" s="398" t="s">
        <v>574</v>
      </c>
    </row>
    <row r="1230" spans="1:16" s="401" customFormat="1" ht="60">
      <c r="A1230" s="429">
        <f t="shared" si="62"/>
        <v>1227</v>
      </c>
      <c r="B1230" s="387">
        <v>46128</v>
      </c>
      <c r="C1230" s="388">
        <v>46113</v>
      </c>
      <c r="D1230" s="392" t="s">
        <v>248</v>
      </c>
      <c r="E1230" s="481" t="s">
        <v>170</v>
      </c>
      <c r="F1230" s="404">
        <v>8145.84</v>
      </c>
      <c r="G1230" s="397" t="s">
        <v>2385</v>
      </c>
      <c r="H1230" s="392" t="s">
        <v>278</v>
      </c>
      <c r="I1230" s="398" t="s">
        <v>678</v>
      </c>
      <c r="J1230" s="399" t="s">
        <v>679</v>
      </c>
      <c r="K1230" s="390" t="str">
        <f t="shared" si="60"/>
        <v>XXX140620001XX</v>
      </c>
      <c r="L1230" s="391"/>
      <c r="M1230" s="398" t="s">
        <v>704</v>
      </c>
      <c r="N1230" s="399">
        <v>17280</v>
      </c>
      <c r="O1230" s="399" t="s">
        <v>2090</v>
      </c>
      <c r="P1230" s="398" t="s">
        <v>574</v>
      </c>
    </row>
    <row r="1231" spans="1:16" s="401" customFormat="1" ht="36">
      <c r="A1231" s="429">
        <f t="shared" si="62"/>
        <v>1228</v>
      </c>
      <c r="B1231" s="387">
        <v>46128</v>
      </c>
      <c r="C1231" s="388">
        <v>46054</v>
      </c>
      <c r="D1231" s="392" t="s">
        <v>248</v>
      </c>
      <c r="E1231" s="482" t="s">
        <v>455</v>
      </c>
      <c r="F1231" s="404">
        <v>644.03</v>
      </c>
      <c r="G1231" s="397" t="s">
        <v>3144</v>
      </c>
      <c r="H1231" s="389" t="s">
        <v>738</v>
      </c>
      <c r="I1231" s="398" t="s">
        <v>668</v>
      </c>
      <c r="J1231" s="399" t="s">
        <v>669</v>
      </c>
      <c r="K1231" s="390" t="str">
        <f t="shared" si="60"/>
        <v>XXX077460001XX</v>
      </c>
      <c r="L1231" s="391"/>
      <c r="M1231" s="398" t="s">
        <v>722</v>
      </c>
      <c r="N1231" s="399">
        <v>249</v>
      </c>
      <c r="O1231" s="399" t="s">
        <v>1530</v>
      </c>
      <c r="P1231" s="398" t="s">
        <v>868</v>
      </c>
    </row>
    <row r="1232" spans="1:16" s="401" customFormat="1" ht="36">
      <c r="A1232" s="429">
        <f t="shared" si="62"/>
        <v>1229</v>
      </c>
      <c r="B1232" s="387">
        <v>46128</v>
      </c>
      <c r="C1232" s="388">
        <v>46054</v>
      </c>
      <c r="D1232" s="392" t="s">
        <v>248</v>
      </c>
      <c r="E1232" s="482" t="s">
        <v>455</v>
      </c>
      <c r="F1232" s="404">
        <v>7084.31</v>
      </c>
      <c r="G1232" s="397" t="s">
        <v>3096</v>
      </c>
      <c r="H1232" s="389" t="s">
        <v>738</v>
      </c>
      <c r="I1232" s="398" t="s">
        <v>672</v>
      </c>
      <c r="J1232" s="399" t="s">
        <v>673</v>
      </c>
      <c r="K1232" s="390" t="str">
        <f t="shared" si="60"/>
        <v>XXX944600058XX</v>
      </c>
      <c r="L1232" s="391"/>
      <c r="M1232" s="398" t="s">
        <v>723</v>
      </c>
      <c r="N1232" s="399">
        <v>249</v>
      </c>
      <c r="O1232" s="399" t="s">
        <v>1530</v>
      </c>
      <c r="P1232" s="398" t="s">
        <v>868</v>
      </c>
    </row>
    <row r="1233" spans="1:16" s="401" customFormat="1" ht="60">
      <c r="A1233" s="429">
        <f t="shared" si="62"/>
        <v>1230</v>
      </c>
      <c r="B1233" s="387">
        <v>46128</v>
      </c>
      <c r="C1233" s="388">
        <v>46113</v>
      </c>
      <c r="D1233" s="392" t="s">
        <v>248</v>
      </c>
      <c r="E1233" s="398" t="s">
        <v>598</v>
      </c>
      <c r="F1233" s="404">
        <v>2500</v>
      </c>
      <c r="G1233" s="397" t="s">
        <v>2386</v>
      </c>
      <c r="H1233" s="389" t="s">
        <v>736</v>
      </c>
      <c r="I1233" s="398" t="s">
        <v>2125</v>
      </c>
      <c r="J1233" s="399" t="s">
        <v>2126</v>
      </c>
      <c r="K1233" s="390" t="str">
        <f t="shared" si="60"/>
        <v>XXX393240001XX</v>
      </c>
      <c r="L1233" s="391"/>
      <c r="M1233" s="398" t="s">
        <v>719</v>
      </c>
      <c r="N1233" s="399">
        <v>11</v>
      </c>
      <c r="O1233" s="399" t="s">
        <v>2091</v>
      </c>
      <c r="P1233" s="398" t="s">
        <v>868</v>
      </c>
    </row>
    <row r="1234" spans="1:16" ht="72">
      <c r="A1234" s="429">
        <f t="shared" si="62"/>
        <v>1231</v>
      </c>
      <c r="B1234" s="387">
        <v>46128</v>
      </c>
      <c r="C1234" s="388">
        <v>46113</v>
      </c>
      <c r="D1234" s="392" t="s">
        <v>248</v>
      </c>
      <c r="E1234" s="398" t="s">
        <v>600</v>
      </c>
      <c r="F1234" s="404">
        <v>5350.95</v>
      </c>
      <c r="G1234" s="397" t="s">
        <v>1351</v>
      </c>
      <c r="H1234" s="389" t="s">
        <v>737</v>
      </c>
      <c r="I1234" s="398" t="s">
        <v>1142</v>
      </c>
      <c r="J1234" s="399" t="s">
        <v>1143</v>
      </c>
      <c r="K1234" s="390" t="str">
        <f t="shared" si="60"/>
        <v>XXX410700001XX</v>
      </c>
      <c r="L1234" s="391"/>
      <c r="M1234" s="398" t="s">
        <v>708</v>
      </c>
      <c r="N1234" s="399">
        <v>46</v>
      </c>
      <c r="O1234" s="399" t="s">
        <v>2091</v>
      </c>
      <c r="P1234" s="398" t="s">
        <v>574</v>
      </c>
    </row>
    <row r="1235" spans="1:16" ht="36">
      <c r="A1235" s="429">
        <f t="shared" si="62"/>
        <v>1232</v>
      </c>
      <c r="B1235" s="387">
        <v>46128</v>
      </c>
      <c r="C1235" s="388">
        <v>46113</v>
      </c>
      <c r="D1235" s="392" t="s">
        <v>248</v>
      </c>
      <c r="E1235" s="398" t="s">
        <v>607</v>
      </c>
      <c r="F1235" s="404">
        <v>385.7</v>
      </c>
      <c r="G1235" s="397" t="s">
        <v>2387</v>
      </c>
      <c r="H1235" s="389" t="s">
        <v>736</v>
      </c>
      <c r="I1235" s="398" t="s">
        <v>688</v>
      </c>
      <c r="J1235" s="399" t="s">
        <v>689</v>
      </c>
      <c r="K1235" s="390" t="str">
        <f t="shared" si="60"/>
        <v>XXX016540001XX</v>
      </c>
      <c r="L1235" s="391"/>
      <c r="M1235" s="398" t="s">
        <v>708</v>
      </c>
      <c r="N1235" s="399">
        <v>2591</v>
      </c>
      <c r="O1235" s="399" t="s">
        <v>2091</v>
      </c>
      <c r="P1235" s="398" t="s">
        <v>574</v>
      </c>
    </row>
    <row r="1236" spans="1:16" s="401" customFormat="1" ht="36">
      <c r="A1236" s="429">
        <f t="shared" si="62"/>
        <v>1233</v>
      </c>
      <c r="B1236" s="387">
        <v>46128</v>
      </c>
      <c r="C1236" s="388">
        <v>46113</v>
      </c>
      <c r="D1236" s="392" t="s">
        <v>248</v>
      </c>
      <c r="E1236" s="398" t="s">
        <v>607</v>
      </c>
      <c r="F1236" s="404">
        <v>1413</v>
      </c>
      <c r="G1236" s="397" t="s">
        <v>2387</v>
      </c>
      <c r="H1236" s="389" t="s">
        <v>736</v>
      </c>
      <c r="I1236" s="398" t="s">
        <v>688</v>
      </c>
      <c r="J1236" s="399" t="s">
        <v>689</v>
      </c>
      <c r="K1236" s="390" t="str">
        <f t="shared" ref="K1236:K1267" si="63">IF(J1236="","",IF(LEN(J1236)&gt;14,IF(ISBLANK(J1236),"",J1236),REPLACE(REPLACE(J1236,1,3,"XXX"),13,2,"XX")))</f>
        <v>XXX016540001XX</v>
      </c>
      <c r="L1236" s="391"/>
      <c r="M1236" s="398" t="s">
        <v>708</v>
      </c>
      <c r="N1236" s="399">
        <v>2591</v>
      </c>
      <c r="O1236" s="399" t="s">
        <v>2091</v>
      </c>
      <c r="P1236" s="398" t="s">
        <v>574</v>
      </c>
    </row>
    <row r="1237" spans="1:16" s="401" customFormat="1" ht="36">
      <c r="A1237" s="429">
        <f t="shared" si="62"/>
        <v>1234</v>
      </c>
      <c r="B1237" s="387">
        <v>46128</v>
      </c>
      <c r="C1237" s="388">
        <v>46113</v>
      </c>
      <c r="D1237" s="392" t="s">
        <v>248</v>
      </c>
      <c r="E1237" s="398" t="s">
        <v>590</v>
      </c>
      <c r="F1237" s="404">
        <v>3600</v>
      </c>
      <c r="G1237" s="397" t="s">
        <v>2388</v>
      </c>
      <c r="H1237" s="389" t="s">
        <v>736</v>
      </c>
      <c r="I1237" s="398" t="s">
        <v>2203</v>
      </c>
      <c r="J1237" s="399" t="s">
        <v>2204</v>
      </c>
      <c r="K1237" s="390" t="str">
        <f t="shared" si="63"/>
        <v>XXX455280001XX</v>
      </c>
      <c r="L1237" s="391"/>
      <c r="M1237" s="398" t="s">
        <v>707</v>
      </c>
      <c r="N1237" s="399">
        <v>96</v>
      </c>
      <c r="O1237" s="399" t="s">
        <v>2091</v>
      </c>
      <c r="P1237" s="398" t="s">
        <v>868</v>
      </c>
    </row>
    <row r="1238" spans="1:16" s="401" customFormat="1" ht="43.5" customHeight="1">
      <c r="A1238" s="429">
        <f t="shared" si="62"/>
        <v>1235</v>
      </c>
      <c r="B1238" s="387">
        <v>46128</v>
      </c>
      <c r="C1238" s="388">
        <v>46113</v>
      </c>
      <c r="D1238" s="392" t="s">
        <v>248</v>
      </c>
      <c r="E1238" s="482" t="s">
        <v>78</v>
      </c>
      <c r="F1238" s="404">
        <v>772.8</v>
      </c>
      <c r="G1238" s="397" t="s">
        <v>2389</v>
      </c>
      <c r="H1238" s="389" t="s">
        <v>736</v>
      </c>
      <c r="I1238" s="398" t="s">
        <v>1121</v>
      </c>
      <c r="J1238" s="399" t="s">
        <v>1122</v>
      </c>
      <c r="K1238" s="390" t="str">
        <f t="shared" si="63"/>
        <v>XXX885700001XX</v>
      </c>
      <c r="L1238" s="391"/>
      <c r="M1238" s="398" t="s">
        <v>707</v>
      </c>
      <c r="N1238" s="399">
        <v>189</v>
      </c>
      <c r="O1238" s="399" t="s">
        <v>2092</v>
      </c>
      <c r="P1238" s="398" t="s">
        <v>868</v>
      </c>
    </row>
    <row r="1239" spans="1:16" s="401" customFormat="1" ht="36">
      <c r="A1239" s="429">
        <f t="shared" si="62"/>
        <v>1236</v>
      </c>
      <c r="B1239" s="387">
        <v>46128</v>
      </c>
      <c r="C1239" s="388">
        <v>46113</v>
      </c>
      <c r="D1239" s="392" t="s">
        <v>248</v>
      </c>
      <c r="E1239" s="398" t="s">
        <v>599</v>
      </c>
      <c r="F1239" s="404">
        <v>1884.2</v>
      </c>
      <c r="G1239" s="397" t="s">
        <v>2332</v>
      </c>
      <c r="H1239" s="389" t="s">
        <v>736</v>
      </c>
      <c r="I1239" s="398" t="s">
        <v>1461</v>
      </c>
      <c r="J1239" s="399" t="s">
        <v>1462</v>
      </c>
      <c r="K1239" s="390" t="str">
        <f t="shared" si="63"/>
        <v>XXX52485672 XX</v>
      </c>
      <c r="L1239" s="391"/>
      <c r="M1239" s="398" t="s">
        <v>708</v>
      </c>
      <c r="N1239" s="399">
        <v>58</v>
      </c>
      <c r="O1239" s="399" t="s">
        <v>2092</v>
      </c>
      <c r="P1239" s="398" t="s">
        <v>574</v>
      </c>
    </row>
    <row r="1240" spans="1:16" s="401" customFormat="1" ht="36">
      <c r="A1240" s="429">
        <f t="shared" si="62"/>
        <v>1237</v>
      </c>
      <c r="B1240" s="387">
        <v>46128</v>
      </c>
      <c r="C1240" s="388">
        <v>46113</v>
      </c>
      <c r="D1240" s="392" t="s">
        <v>248</v>
      </c>
      <c r="E1240" s="398" t="s">
        <v>599</v>
      </c>
      <c r="F1240" s="404">
        <v>637.29999999999995</v>
      </c>
      <c r="G1240" s="397" t="s">
        <v>2332</v>
      </c>
      <c r="H1240" s="389" t="s">
        <v>736</v>
      </c>
      <c r="I1240" s="398" t="s">
        <v>1461</v>
      </c>
      <c r="J1240" s="399" t="s">
        <v>1462</v>
      </c>
      <c r="K1240" s="390" t="str">
        <f t="shared" si="63"/>
        <v>XXX52485672 XX</v>
      </c>
      <c r="L1240" s="391"/>
      <c r="M1240" s="398" t="s">
        <v>707</v>
      </c>
      <c r="N1240" s="399">
        <v>59</v>
      </c>
      <c r="O1240" s="399" t="s">
        <v>2092</v>
      </c>
      <c r="P1240" s="398" t="s">
        <v>868</v>
      </c>
    </row>
    <row r="1241" spans="1:16" s="401" customFormat="1" ht="48">
      <c r="A1241" s="429">
        <f t="shared" si="62"/>
        <v>1238</v>
      </c>
      <c r="B1241" s="387">
        <v>46128</v>
      </c>
      <c r="C1241" s="388">
        <v>46113</v>
      </c>
      <c r="D1241" s="392" t="s">
        <v>248</v>
      </c>
      <c r="E1241" s="398" t="s">
        <v>607</v>
      </c>
      <c r="F1241" s="404">
        <v>4429.51</v>
      </c>
      <c r="G1241" s="397" t="s">
        <v>2390</v>
      </c>
      <c r="H1241" s="389" t="s">
        <v>278</v>
      </c>
      <c r="I1241" s="398" t="s">
        <v>747</v>
      </c>
      <c r="J1241" s="399" t="s">
        <v>748</v>
      </c>
      <c r="K1241" s="390" t="str">
        <f t="shared" si="63"/>
        <v>XXX262980001XX</v>
      </c>
      <c r="L1241" s="391"/>
      <c r="M1241" s="398" t="s">
        <v>704</v>
      </c>
      <c r="N1241" s="399">
        <v>782</v>
      </c>
      <c r="O1241" s="399" t="s">
        <v>2092</v>
      </c>
      <c r="P1241" s="398" t="s">
        <v>574</v>
      </c>
    </row>
    <row r="1242" spans="1:16" s="401" customFormat="1" ht="48">
      <c r="A1242" s="429">
        <f t="shared" si="62"/>
        <v>1239</v>
      </c>
      <c r="B1242" s="387">
        <v>46128</v>
      </c>
      <c r="C1242" s="388">
        <v>46113</v>
      </c>
      <c r="D1242" s="392" t="s">
        <v>248</v>
      </c>
      <c r="E1242" s="398" t="s">
        <v>610</v>
      </c>
      <c r="F1242" s="404">
        <v>3931.22</v>
      </c>
      <c r="G1242" s="397" t="s">
        <v>2391</v>
      </c>
      <c r="H1242" s="389" t="s">
        <v>736</v>
      </c>
      <c r="I1242" s="398" t="s">
        <v>686</v>
      </c>
      <c r="J1242" s="399" t="s">
        <v>687</v>
      </c>
      <c r="K1242" s="390" t="str">
        <f t="shared" si="63"/>
        <v>XXX900500001XX</v>
      </c>
      <c r="L1242" s="391"/>
      <c r="M1242" s="398" t="s">
        <v>719</v>
      </c>
      <c r="N1242" s="399">
        <v>37383</v>
      </c>
      <c r="O1242" s="399" t="s">
        <v>2093</v>
      </c>
      <c r="P1242" s="398" t="s">
        <v>868</v>
      </c>
    </row>
    <row r="1243" spans="1:16" s="401" customFormat="1" ht="48">
      <c r="A1243" s="429">
        <f t="shared" si="62"/>
        <v>1240</v>
      </c>
      <c r="B1243" s="387">
        <v>46128</v>
      </c>
      <c r="C1243" s="388">
        <v>46113</v>
      </c>
      <c r="D1243" s="392" t="s">
        <v>248</v>
      </c>
      <c r="E1243" s="482" t="s">
        <v>78</v>
      </c>
      <c r="F1243" s="404">
        <v>5500</v>
      </c>
      <c r="G1243" s="397" t="s">
        <v>2392</v>
      </c>
      <c r="H1243" s="392" t="s">
        <v>737</v>
      </c>
      <c r="I1243" s="398" t="s">
        <v>2205</v>
      </c>
      <c r="J1243" s="399" t="s">
        <v>2206</v>
      </c>
      <c r="K1243" s="390" t="str">
        <f t="shared" si="63"/>
        <v>XXX48223609 XX</v>
      </c>
      <c r="L1243" s="391"/>
      <c r="M1243" s="398" t="s">
        <v>707</v>
      </c>
      <c r="N1243" s="399">
        <v>46</v>
      </c>
      <c r="O1243" s="399" t="s">
        <v>2094</v>
      </c>
      <c r="P1243" s="398" t="s">
        <v>868</v>
      </c>
    </row>
    <row r="1244" spans="1:16" s="401" customFormat="1" ht="36">
      <c r="A1244" s="429">
        <f t="shared" si="62"/>
        <v>1241</v>
      </c>
      <c r="B1244" s="387">
        <v>46128</v>
      </c>
      <c r="C1244" s="388">
        <v>46082</v>
      </c>
      <c r="D1244" s="392" t="s">
        <v>166</v>
      </c>
      <c r="E1244" s="398" t="s">
        <v>1217</v>
      </c>
      <c r="F1244" s="404">
        <v>4121.96</v>
      </c>
      <c r="G1244" s="397" t="s">
        <v>2393</v>
      </c>
      <c r="H1244" s="389" t="s">
        <v>166</v>
      </c>
      <c r="I1244" s="398" t="s">
        <v>1129</v>
      </c>
      <c r="J1244" s="399" t="s">
        <v>1130</v>
      </c>
      <c r="K1244" s="390" t="str">
        <f t="shared" si="63"/>
        <v>XXX860740001XX</v>
      </c>
      <c r="L1244" s="391"/>
      <c r="M1244" s="398" t="s">
        <v>704</v>
      </c>
      <c r="N1244" s="399">
        <v>443819</v>
      </c>
      <c r="O1244" s="399" t="s">
        <v>1543</v>
      </c>
      <c r="P1244" s="398" t="s">
        <v>574</v>
      </c>
    </row>
    <row r="1245" spans="1:16" s="401" customFormat="1" ht="60">
      <c r="A1245" s="429">
        <f t="shared" si="62"/>
        <v>1242</v>
      </c>
      <c r="B1245" s="387">
        <v>46128</v>
      </c>
      <c r="C1245" s="388">
        <v>46113</v>
      </c>
      <c r="D1245" s="392" t="s">
        <v>248</v>
      </c>
      <c r="E1245" s="398" t="s">
        <v>610</v>
      </c>
      <c r="F1245" s="404">
        <v>1527.27</v>
      </c>
      <c r="G1245" s="397" t="s">
        <v>2394</v>
      </c>
      <c r="H1245" s="389" t="s">
        <v>736</v>
      </c>
      <c r="I1245" s="398" t="s">
        <v>686</v>
      </c>
      <c r="J1245" s="399" t="s">
        <v>687</v>
      </c>
      <c r="K1245" s="390" t="str">
        <f t="shared" si="63"/>
        <v>XXX900500001XX</v>
      </c>
      <c r="L1245" s="391"/>
      <c r="M1245" s="398" t="s">
        <v>719</v>
      </c>
      <c r="N1245" s="399">
        <v>37366</v>
      </c>
      <c r="O1245" s="399" t="s">
        <v>2091</v>
      </c>
      <c r="P1245" s="398" t="s">
        <v>868</v>
      </c>
    </row>
    <row r="1246" spans="1:16" s="401" customFormat="1" ht="48">
      <c r="A1246" s="429">
        <f t="shared" si="62"/>
        <v>1243</v>
      </c>
      <c r="B1246" s="387">
        <v>46128</v>
      </c>
      <c r="C1246" s="388">
        <v>46113</v>
      </c>
      <c r="D1246" s="392" t="s">
        <v>248</v>
      </c>
      <c r="E1246" s="398" t="s">
        <v>1550</v>
      </c>
      <c r="F1246" s="404">
        <v>2113.65</v>
      </c>
      <c r="G1246" s="397" t="s">
        <v>2395</v>
      </c>
      <c r="H1246" s="389" t="s">
        <v>736</v>
      </c>
      <c r="I1246" s="398" t="s">
        <v>686</v>
      </c>
      <c r="J1246" s="399" t="s">
        <v>687</v>
      </c>
      <c r="K1246" s="390" t="str">
        <f t="shared" si="63"/>
        <v>XXX900500001XX</v>
      </c>
      <c r="L1246" s="391"/>
      <c r="M1246" s="398" t="s">
        <v>719</v>
      </c>
      <c r="N1246" s="399">
        <v>3968</v>
      </c>
      <c r="O1246" s="399" t="s">
        <v>2092</v>
      </c>
      <c r="P1246" s="398" t="s">
        <v>868</v>
      </c>
    </row>
    <row r="1247" spans="1:16" s="401" customFormat="1" ht="36">
      <c r="A1247" s="429">
        <f t="shared" si="62"/>
        <v>1244</v>
      </c>
      <c r="B1247" s="387">
        <v>46128</v>
      </c>
      <c r="C1247" s="388">
        <v>46113</v>
      </c>
      <c r="D1247" s="392" t="s">
        <v>248</v>
      </c>
      <c r="E1247" s="398" t="s">
        <v>604</v>
      </c>
      <c r="F1247" s="404">
        <v>5400.96</v>
      </c>
      <c r="G1247" s="397" t="s">
        <v>2396</v>
      </c>
      <c r="H1247" s="389" t="s">
        <v>1029</v>
      </c>
      <c r="I1247" s="398" t="s">
        <v>1146</v>
      </c>
      <c r="J1247" s="399" t="s">
        <v>683</v>
      </c>
      <c r="K1247" s="390" t="str">
        <f t="shared" si="63"/>
        <v>XXX232120001XX</v>
      </c>
      <c r="L1247" s="391"/>
      <c r="M1247" s="398" t="s">
        <v>707</v>
      </c>
      <c r="N1247" s="399">
        <v>1172211</v>
      </c>
      <c r="O1247" s="399" t="s">
        <v>2094</v>
      </c>
      <c r="P1247" s="398" t="s">
        <v>868</v>
      </c>
    </row>
    <row r="1248" spans="1:16" s="401" customFormat="1" ht="36">
      <c r="A1248" s="429">
        <f t="shared" si="62"/>
        <v>1245</v>
      </c>
      <c r="B1248" s="387">
        <v>46128</v>
      </c>
      <c r="C1248" s="388">
        <v>46113</v>
      </c>
      <c r="D1248" s="392" t="s">
        <v>248</v>
      </c>
      <c r="E1248" s="398" t="s">
        <v>1551</v>
      </c>
      <c r="F1248" s="404">
        <v>1016</v>
      </c>
      <c r="G1248" s="397" t="s">
        <v>2397</v>
      </c>
      <c r="H1248" s="389" t="s">
        <v>737</v>
      </c>
      <c r="I1248" s="398" t="s">
        <v>1457</v>
      </c>
      <c r="J1248" s="399" t="s">
        <v>1458</v>
      </c>
      <c r="K1248" s="390" t="str">
        <f t="shared" si="63"/>
        <v>XXX645400001XX</v>
      </c>
      <c r="L1248" s="391"/>
      <c r="M1248" s="398" t="s">
        <v>719</v>
      </c>
      <c r="N1248" s="399">
        <v>63</v>
      </c>
      <c r="O1248" s="399" t="s">
        <v>2094</v>
      </c>
      <c r="P1248" s="398" t="s">
        <v>868</v>
      </c>
    </row>
    <row r="1249" spans="1:16" s="401" customFormat="1" ht="48">
      <c r="A1249" s="429">
        <f t="shared" si="62"/>
        <v>1246</v>
      </c>
      <c r="B1249" s="387">
        <v>46128</v>
      </c>
      <c r="C1249" s="388">
        <v>46113</v>
      </c>
      <c r="D1249" s="392" t="s">
        <v>248</v>
      </c>
      <c r="E1249" s="481" t="s">
        <v>167</v>
      </c>
      <c r="F1249" s="404">
        <v>120.37</v>
      </c>
      <c r="G1249" s="397" t="s">
        <v>2398</v>
      </c>
      <c r="H1249" s="389" t="s">
        <v>278</v>
      </c>
      <c r="I1249" s="398" t="s">
        <v>666</v>
      </c>
      <c r="J1249" s="399" t="s">
        <v>667</v>
      </c>
      <c r="K1249" s="390" t="str">
        <f t="shared" si="63"/>
        <v>XXX085160001XX</v>
      </c>
      <c r="L1249" s="391"/>
      <c r="M1249" s="398" t="s">
        <v>717</v>
      </c>
      <c r="N1249" s="399">
        <v>537188836</v>
      </c>
      <c r="O1249" s="399" t="s">
        <v>2101</v>
      </c>
      <c r="P1249" s="398" t="s">
        <v>574</v>
      </c>
    </row>
    <row r="1250" spans="1:16" s="401" customFormat="1" ht="36">
      <c r="A1250" s="429">
        <f t="shared" si="62"/>
        <v>1247</v>
      </c>
      <c r="B1250" s="387">
        <v>46128</v>
      </c>
      <c r="C1250" s="388">
        <v>46113</v>
      </c>
      <c r="D1250" s="392" t="s">
        <v>248</v>
      </c>
      <c r="E1250" s="398" t="s">
        <v>1215</v>
      </c>
      <c r="F1250" s="404">
        <v>902</v>
      </c>
      <c r="G1250" s="397" t="s">
        <v>1319</v>
      </c>
      <c r="H1250" s="389" t="s">
        <v>278</v>
      </c>
      <c r="I1250" s="398" t="s">
        <v>2207</v>
      </c>
      <c r="J1250" s="399" t="s">
        <v>2208</v>
      </c>
      <c r="K1250" s="390" t="str">
        <f t="shared" si="63"/>
        <v>XXX55904606 XX</v>
      </c>
      <c r="L1250" s="391"/>
      <c r="M1250" s="398" t="s">
        <v>708</v>
      </c>
      <c r="N1250" s="399">
        <v>75203</v>
      </c>
      <c r="O1250" s="399" t="s">
        <v>2096</v>
      </c>
      <c r="P1250" s="398" t="s">
        <v>574</v>
      </c>
    </row>
    <row r="1251" spans="1:16" s="401" customFormat="1" ht="36">
      <c r="A1251" s="429">
        <f t="shared" si="62"/>
        <v>1248</v>
      </c>
      <c r="B1251" s="387">
        <v>46128</v>
      </c>
      <c r="C1251" s="388">
        <v>46113</v>
      </c>
      <c r="D1251" s="392" t="s">
        <v>353</v>
      </c>
      <c r="E1251" s="480" t="s">
        <v>153</v>
      </c>
      <c r="F1251" s="404">
        <v>15932.61</v>
      </c>
      <c r="G1251" s="397" t="s">
        <v>2399</v>
      </c>
      <c r="H1251" s="389" t="s">
        <v>280</v>
      </c>
      <c r="I1251" s="394" t="s">
        <v>744</v>
      </c>
      <c r="J1251" s="455">
        <v>7837375000150</v>
      </c>
      <c r="K1251" s="390" t="str">
        <f t="shared" si="63"/>
        <v>XXX737500015XX</v>
      </c>
      <c r="L1251" s="391"/>
      <c r="M1251" s="398" t="s">
        <v>726</v>
      </c>
      <c r="N1251" s="399">
        <v>9042026</v>
      </c>
      <c r="O1251" s="399" t="s">
        <v>2094</v>
      </c>
      <c r="P1251" s="398" t="s">
        <v>574</v>
      </c>
    </row>
    <row r="1252" spans="1:16" s="401" customFormat="1" ht="36">
      <c r="A1252" s="429">
        <f t="shared" si="62"/>
        <v>1249</v>
      </c>
      <c r="B1252" s="387">
        <v>46128</v>
      </c>
      <c r="C1252" s="388">
        <v>46113</v>
      </c>
      <c r="D1252" s="392" t="s">
        <v>248</v>
      </c>
      <c r="E1252" s="398" t="s">
        <v>604</v>
      </c>
      <c r="F1252" s="404">
        <v>16592.43</v>
      </c>
      <c r="G1252" s="397" t="s">
        <v>2396</v>
      </c>
      <c r="H1252" s="389" t="s">
        <v>1029</v>
      </c>
      <c r="I1252" s="398" t="s">
        <v>1146</v>
      </c>
      <c r="J1252" s="399" t="s">
        <v>683</v>
      </c>
      <c r="K1252" s="390" t="str">
        <f t="shared" si="63"/>
        <v>XXX232120001XX</v>
      </c>
      <c r="L1252" s="391"/>
      <c r="M1252" s="398" t="s">
        <v>707</v>
      </c>
      <c r="N1252" s="399">
        <v>2296647</v>
      </c>
      <c r="O1252" s="399" t="s">
        <v>2094</v>
      </c>
      <c r="P1252" s="398" t="s">
        <v>868</v>
      </c>
    </row>
    <row r="1253" spans="1:16" s="401" customFormat="1" ht="24">
      <c r="A1253" s="429">
        <f t="shared" si="62"/>
        <v>1250</v>
      </c>
      <c r="B1253" s="387">
        <v>46128</v>
      </c>
      <c r="C1253" s="388">
        <v>46113</v>
      </c>
      <c r="D1253" s="392" t="s">
        <v>166</v>
      </c>
      <c r="E1253" s="398" t="s">
        <v>583</v>
      </c>
      <c r="F1253" s="491">
        <v>655.82</v>
      </c>
      <c r="G1253" s="397" t="s">
        <v>2400</v>
      </c>
      <c r="H1253" s="389" t="s">
        <v>166</v>
      </c>
      <c r="I1253" s="398" t="s">
        <v>2209</v>
      </c>
      <c r="J1253" s="399" t="s">
        <v>2210</v>
      </c>
      <c r="K1253" s="390" t="str">
        <f t="shared" si="63"/>
        <v>XXX07701600 XX</v>
      </c>
      <c r="L1253" s="391"/>
      <c r="M1253" s="398" t="s">
        <v>705</v>
      </c>
      <c r="N1253" s="399">
        <v>733</v>
      </c>
      <c r="O1253" s="399" t="s">
        <v>2089</v>
      </c>
      <c r="P1253" s="398" t="s">
        <v>573</v>
      </c>
    </row>
    <row r="1254" spans="1:16" s="401" customFormat="1" ht="36">
      <c r="A1254" s="429">
        <f t="shared" si="62"/>
        <v>1251</v>
      </c>
      <c r="B1254" s="387">
        <v>46128</v>
      </c>
      <c r="C1254" s="388">
        <v>46113</v>
      </c>
      <c r="D1254" s="392" t="s">
        <v>353</v>
      </c>
      <c r="E1254" s="480" t="s">
        <v>153</v>
      </c>
      <c r="F1254" s="404">
        <v>31609</v>
      </c>
      <c r="G1254" s="397" t="s">
        <v>2401</v>
      </c>
      <c r="H1254" s="389" t="s">
        <v>280</v>
      </c>
      <c r="I1254" s="394" t="s">
        <v>744</v>
      </c>
      <c r="J1254" s="455">
        <v>7837375000150</v>
      </c>
      <c r="K1254" s="390" t="str">
        <f t="shared" si="63"/>
        <v>XXX737500015XX</v>
      </c>
      <c r="L1254" s="391"/>
      <c r="M1254" s="398" t="s">
        <v>726</v>
      </c>
      <c r="N1254" s="399">
        <v>10042026</v>
      </c>
      <c r="O1254" s="399" t="s">
        <v>2095</v>
      </c>
      <c r="P1254" s="398" t="s">
        <v>574</v>
      </c>
    </row>
    <row r="1255" spans="1:16" s="401" customFormat="1" ht="36">
      <c r="A1255" s="429">
        <f t="shared" si="62"/>
        <v>1252</v>
      </c>
      <c r="B1255" s="387">
        <v>46128</v>
      </c>
      <c r="C1255" s="388">
        <v>46113</v>
      </c>
      <c r="D1255" s="392" t="s">
        <v>353</v>
      </c>
      <c r="E1255" s="480" t="s">
        <v>153</v>
      </c>
      <c r="F1255" s="404">
        <v>158.81</v>
      </c>
      <c r="G1255" s="397" t="s">
        <v>2402</v>
      </c>
      <c r="H1255" s="389" t="s">
        <v>280</v>
      </c>
      <c r="I1255" s="394" t="s">
        <v>744</v>
      </c>
      <c r="J1255" s="455">
        <v>7837375000150</v>
      </c>
      <c r="K1255" s="390" t="str">
        <f t="shared" si="63"/>
        <v>XXX737500015XX</v>
      </c>
      <c r="L1255" s="391"/>
      <c r="M1255" s="398" t="s">
        <v>726</v>
      </c>
      <c r="N1255" s="399">
        <v>10042026</v>
      </c>
      <c r="O1255" s="399" t="s">
        <v>2095</v>
      </c>
      <c r="P1255" s="398" t="s">
        <v>574</v>
      </c>
    </row>
    <row r="1256" spans="1:16" s="401" customFormat="1" ht="36">
      <c r="A1256" s="429">
        <f t="shared" si="62"/>
        <v>1253</v>
      </c>
      <c r="B1256" s="387">
        <v>46128</v>
      </c>
      <c r="C1256" s="388">
        <v>46113</v>
      </c>
      <c r="D1256" s="392" t="s">
        <v>353</v>
      </c>
      <c r="E1256" s="480" t="s">
        <v>153</v>
      </c>
      <c r="F1256" s="404">
        <v>39239.17</v>
      </c>
      <c r="G1256" s="397" t="s">
        <v>821</v>
      </c>
      <c r="H1256" s="389" t="s">
        <v>280</v>
      </c>
      <c r="I1256" s="394" t="s">
        <v>744</v>
      </c>
      <c r="J1256" s="455">
        <v>7837375000150</v>
      </c>
      <c r="K1256" s="390" t="str">
        <f t="shared" si="63"/>
        <v>XXX737500015XX</v>
      </c>
      <c r="L1256" s="391"/>
      <c r="M1256" s="398" t="s">
        <v>706</v>
      </c>
      <c r="N1256" s="399">
        <v>2057887427</v>
      </c>
      <c r="O1256" s="399" t="s">
        <v>2099</v>
      </c>
      <c r="P1256" s="398" t="s">
        <v>574</v>
      </c>
    </row>
    <row r="1257" spans="1:16" s="401" customFormat="1" ht="36">
      <c r="A1257" s="429">
        <f t="shared" si="62"/>
        <v>1254</v>
      </c>
      <c r="B1257" s="387">
        <v>46128</v>
      </c>
      <c r="C1257" s="388">
        <v>46113</v>
      </c>
      <c r="D1257" s="392" t="s">
        <v>248</v>
      </c>
      <c r="E1257" s="398" t="s">
        <v>607</v>
      </c>
      <c r="F1257" s="491">
        <v>99.23</v>
      </c>
      <c r="G1257" s="397" t="s">
        <v>2403</v>
      </c>
      <c r="H1257" s="389" t="s">
        <v>736</v>
      </c>
      <c r="I1257" s="398" t="s">
        <v>2953</v>
      </c>
      <c r="J1257" s="399" t="s">
        <v>2954</v>
      </c>
      <c r="K1257" s="390" t="str">
        <f t="shared" si="63"/>
        <v>26.068.130/0003-11</v>
      </c>
      <c r="L1257" s="391"/>
      <c r="M1257" s="398" t="s">
        <v>710</v>
      </c>
      <c r="N1257" s="399">
        <v>102118</v>
      </c>
      <c r="O1257" s="399" t="s">
        <v>2099</v>
      </c>
      <c r="P1257" s="391" t="s">
        <v>2525</v>
      </c>
    </row>
    <row r="1258" spans="1:16" s="401" customFormat="1" ht="36">
      <c r="A1258" s="429">
        <f t="shared" si="62"/>
        <v>1255</v>
      </c>
      <c r="B1258" s="387">
        <v>46128</v>
      </c>
      <c r="C1258" s="388">
        <v>46113</v>
      </c>
      <c r="D1258" s="392" t="s">
        <v>248</v>
      </c>
      <c r="E1258" s="398" t="s">
        <v>607</v>
      </c>
      <c r="F1258" s="491">
        <v>33.76</v>
      </c>
      <c r="G1258" s="397" t="s">
        <v>2404</v>
      </c>
      <c r="H1258" s="389" t="s">
        <v>736</v>
      </c>
      <c r="I1258" s="398" t="s">
        <v>2955</v>
      </c>
      <c r="J1258" s="399" t="s">
        <v>2956</v>
      </c>
      <c r="K1258" s="390" t="str">
        <f t="shared" si="63"/>
        <v>01.928.075/0016-86</v>
      </c>
      <c r="L1258" s="391"/>
      <c r="M1258" s="398" t="s">
        <v>710</v>
      </c>
      <c r="N1258" s="399">
        <v>243855</v>
      </c>
      <c r="O1258" s="399" t="s">
        <v>2099</v>
      </c>
      <c r="P1258" s="391" t="s">
        <v>2525</v>
      </c>
    </row>
    <row r="1259" spans="1:16" s="401" customFormat="1" ht="36">
      <c r="A1259" s="429">
        <f t="shared" si="62"/>
        <v>1256</v>
      </c>
      <c r="B1259" s="387">
        <v>46128</v>
      </c>
      <c r="C1259" s="388">
        <v>46113</v>
      </c>
      <c r="D1259" s="392" t="s">
        <v>248</v>
      </c>
      <c r="E1259" s="398" t="s">
        <v>597</v>
      </c>
      <c r="F1259" s="491">
        <v>52.56</v>
      </c>
      <c r="G1259" s="433" t="s">
        <v>2951</v>
      </c>
      <c r="H1259" s="389" t="s">
        <v>278</v>
      </c>
      <c r="I1259" s="398" t="s">
        <v>2955</v>
      </c>
      <c r="J1259" s="399" t="s">
        <v>2956</v>
      </c>
      <c r="K1259" s="390" t="str">
        <f t="shared" si="63"/>
        <v>01.928.075/0016-86</v>
      </c>
      <c r="L1259" s="391"/>
      <c r="M1259" s="398" t="s">
        <v>710</v>
      </c>
      <c r="N1259" s="399">
        <v>243855</v>
      </c>
      <c r="O1259" s="399" t="s">
        <v>2099</v>
      </c>
      <c r="P1259" s="391" t="s">
        <v>2525</v>
      </c>
    </row>
    <row r="1260" spans="1:16" s="401" customFormat="1" ht="36">
      <c r="A1260" s="429">
        <f t="shared" si="62"/>
        <v>1257</v>
      </c>
      <c r="B1260" s="387">
        <v>46128</v>
      </c>
      <c r="C1260" s="388">
        <v>46113</v>
      </c>
      <c r="D1260" s="392" t="s">
        <v>248</v>
      </c>
      <c r="E1260" s="398" t="s">
        <v>1550</v>
      </c>
      <c r="F1260" s="404">
        <v>1761.38</v>
      </c>
      <c r="G1260" s="397" t="s">
        <v>2405</v>
      </c>
      <c r="H1260" s="389" t="s">
        <v>736</v>
      </c>
      <c r="I1260" s="398" t="s">
        <v>686</v>
      </c>
      <c r="J1260" s="399" t="s">
        <v>687</v>
      </c>
      <c r="K1260" s="390" t="str">
        <f t="shared" si="63"/>
        <v>XXX900500001XX</v>
      </c>
      <c r="L1260" s="391"/>
      <c r="M1260" s="398" t="s">
        <v>719</v>
      </c>
      <c r="N1260" s="399">
        <v>37374</v>
      </c>
      <c r="O1260" s="399" t="s">
        <v>2092</v>
      </c>
      <c r="P1260" s="398" t="s">
        <v>868</v>
      </c>
    </row>
    <row r="1261" spans="1:16" s="401" customFormat="1" ht="36">
      <c r="A1261" s="429">
        <f t="shared" si="62"/>
        <v>1258</v>
      </c>
      <c r="B1261" s="387">
        <v>46128</v>
      </c>
      <c r="C1261" s="388">
        <v>46082</v>
      </c>
      <c r="D1261" s="392" t="s">
        <v>166</v>
      </c>
      <c r="E1261" s="480" t="s">
        <v>234</v>
      </c>
      <c r="F1261" s="491">
        <v>276216.99</v>
      </c>
      <c r="G1261" s="397" t="s">
        <v>2406</v>
      </c>
      <c r="H1261" s="389" t="s">
        <v>166</v>
      </c>
      <c r="I1261" s="398" t="s">
        <v>668</v>
      </c>
      <c r="J1261" s="399" t="s">
        <v>669</v>
      </c>
      <c r="K1261" s="390" t="str">
        <f t="shared" si="63"/>
        <v>XXX077460001XX</v>
      </c>
      <c r="L1261" s="391"/>
      <c r="M1261" s="398" t="s">
        <v>723</v>
      </c>
      <c r="N1261" s="399">
        <v>2100</v>
      </c>
      <c r="O1261" s="399" t="s">
        <v>1521</v>
      </c>
      <c r="P1261" s="398" t="s">
        <v>572</v>
      </c>
    </row>
    <row r="1262" spans="1:16" s="401" customFormat="1" ht="36">
      <c r="A1262" s="429">
        <f t="shared" si="62"/>
        <v>1259</v>
      </c>
      <c r="B1262" s="387">
        <v>46128</v>
      </c>
      <c r="C1262" s="388">
        <v>46082</v>
      </c>
      <c r="D1262" s="392" t="s">
        <v>166</v>
      </c>
      <c r="E1262" s="398" t="s">
        <v>1210</v>
      </c>
      <c r="F1262" s="491">
        <v>115427.78</v>
      </c>
      <c r="G1262" s="397" t="s">
        <v>2407</v>
      </c>
      <c r="H1262" s="389" t="s">
        <v>166</v>
      </c>
      <c r="I1262" s="398" t="s">
        <v>668</v>
      </c>
      <c r="J1262" s="399" t="s">
        <v>669</v>
      </c>
      <c r="K1262" s="390" t="str">
        <f t="shared" si="63"/>
        <v>XXX077460001XX</v>
      </c>
      <c r="L1262" s="391"/>
      <c r="M1262" s="398" t="s">
        <v>2259</v>
      </c>
      <c r="N1262" s="399">
        <v>561</v>
      </c>
      <c r="O1262" s="399" t="s">
        <v>1521</v>
      </c>
      <c r="P1262" s="398" t="s">
        <v>572</v>
      </c>
    </row>
    <row r="1263" spans="1:16" s="401" customFormat="1" ht="36">
      <c r="A1263" s="429">
        <f t="shared" si="62"/>
        <v>1260</v>
      </c>
      <c r="B1263" s="387">
        <v>46128</v>
      </c>
      <c r="C1263" s="388">
        <v>46082</v>
      </c>
      <c r="D1263" s="392" t="s">
        <v>166</v>
      </c>
      <c r="E1263" s="480" t="s">
        <v>245</v>
      </c>
      <c r="F1263" s="491">
        <v>7951.64</v>
      </c>
      <c r="G1263" s="397" t="s">
        <v>2408</v>
      </c>
      <c r="H1263" s="389" t="s">
        <v>166</v>
      </c>
      <c r="I1263" s="398" t="s">
        <v>668</v>
      </c>
      <c r="J1263" s="399" t="s">
        <v>669</v>
      </c>
      <c r="K1263" s="390" t="str">
        <f t="shared" si="63"/>
        <v>XXX077460001XX</v>
      </c>
      <c r="L1263" s="391"/>
      <c r="M1263" s="398" t="s">
        <v>725</v>
      </c>
      <c r="N1263" s="399">
        <v>83010326</v>
      </c>
      <c r="O1263" s="399" t="s">
        <v>1521</v>
      </c>
      <c r="P1263" s="398" t="s">
        <v>572</v>
      </c>
    </row>
    <row r="1264" spans="1:16" s="401" customFormat="1" ht="36">
      <c r="A1264" s="429">
        <f t="shared" si="62"/>
        <v>1261</v>
      </c>
      <c r="B1264" s="387">
        <v>46128</v>
      </c>
      <c r="C1264" s="388">
        <v>46082</v>
      </c>
      <c r="D1264" s="392" t="s">
        <v>166</v>
      </c>
      <c r="E1264" s="398" t="s">
        <v>581</v>
      </c>
      <c r="F1264" s="404">
        <v>29.03</v>
      </c>
      <c r="G1264" s="397" t="s">
        <v>3108</v>
      </c>
      <c r="H1264" s="389" t="s">
        <v>166</v>
      </c>
      <c r="I1264" s="398" t="s">
        <v>668</v>
      </c>
      <c r="J1264" s="399" t="s">
        <v>669</v>
      </c>
      <c r="K1264" s="390" t="str">
        <f t="shared" si="63"/>
        <v>XXX077460001XX</v>
      </c>
      <c r="L1264" s="391"/>
      <c r="M1264" s="398" t="s">
        <v>721</v>
      </c>
      <c r="N1264" s="399">
        <v>4382</v>
      </c>
      <c r="O1264" s="399" t="s">
        <v>1540</v>
      </c>
      <c r="P1264" s="398" t="s">
        <v>574</v>
      </c>
    </row>
    <row r="1265" spans="1:16" s="401" customFormat="1" ht="72">
      <c r="A1265" s="429">
        <f t="shared" si="62"/>
        <v>1262</v>
      </c>
      <c r="B1265" s="387">
        <v>46128</v>
      </c>
      <c r="C1265" s="388">
        <v>46082</v>
      </c>
      <c r="D1265" s="392" t="s">
        <v>248</v>
      </c>
      <c r="E1265" s="482" t="s">
        <v>78</v>
      </c>
      <c r="F1265" s="404">
        <v>272.69</v>
      </c>
      <c r="G1265" s="397" t="s">
        <v>3109</v>
      </c>
      <c r="H1265" s="389" t="s">
        <v>1029</v>
      </c>
      <c r="I1265" s="398" t="s">
        <v>668</v>
      </c>
      <c r="J1265" s="399" t="s">
        <v>669</v>
      </c>
      <c r="K1265" s="390" t="str">
        <f t="shared" si="63"/>
        <v>XXX077460001XX</v>
      </c>
      <c r="L1265" s="391"/>
      <c r="M1265" s="398" t="s">
        <v>721</v>
      </c>
      <c r="N1265" s="399">
        <v>591</v>
      </c>
      <c r="O1265" s="399" t="s">
        <v>1526</v>
      </c>
      <c r="P1265" s="398" t="s">
        <v>574</v>
      </c>
    </row>
    <row r="1266" spans="1:16" s="401" customFormat="1" ht="48">
      <c r="A1266" s="429">
        <f t="shared" si="62"/>
        <v>1263</v>
      </c>
      <c r="B1266" s="387">
        <v>46128</v>
      </c>
      <c r="C1266" s="388">
        <v>46082</v>
      </c>
      <c r="D1266" s="392" t="s">
        <v>248</v>
      </c>
      <c r="E1266" s="398" t="s">
        <v>593</v>
      </c>
      <c r="F1266" s="404">
        <v>5076.3500000000004</v>
      </c>
      <c r="G1266" s="397" t="s">
        <v>3110</v>
      </c>
      <c r="H1266" s="389" t="s">
        <v>736</v>
      </c>
      <c r="I1266" s="398" t="s">
        <v>668</v>
      </c>
      <c r="J1266" s="399" t="s">
        <v>669</v>
      </c>
      <c r="K1266" s="390" t="str">
        <f t="shared" si="63"/>
        <v>XXX077460001XX</v>
      </c>
      <c r="L1266" s="391"/>
      <c r="M1266" s="398" t="s">
        <v>721</v>
      </c>
      <c r="N1266" s="399">
        <v>2</v>
      </c>
      <c r="O1266" s="399" t="s">
        <v>1520</v>
      </c>
      <c r="P1266" s="398" t="s">
        <v>574</v>
      </c>
    </row>
    <row r="1267" spans="1:16" s="401" customFormat="1" ht="36">
      <c r="A1267" s="429">
        <f t="shared" si="62"/>
        <v>1264</v>
      </c>
      <c r="B1267" s="387">
        <v>46128</v>
      </c>
      <c r="C1267" s="388">
        <v>46082</v>
      </c>
      <c r="D1267" s="392" t="s">
        <v>166</v>
      </c>
      <c r="E1267" s="398" t="s">
        <v>581</v>
      </c>
      <c r="F1267" s="404">
        <v>33.909999999999997</v>
      </c>
      <c r="G1267" s="397" t="s">
        <v>3111</v>
      </c>
      <c r="H1267" s="389" t="s">
        <v>166</v>
      </c>
      <c r="I1267" s="398" t="s">
        <v>668</v>
      </c>
      <c r="J1267" s="399" t="s">
        <v>669</v>
      </c>
      <c r="K1267" s="390" t="str">
        <f t="shared" si="63"/>
        <v>XXX077460001XX</v>
      </c>
      <c r="L1267" s="391"/>
      <c r="M1267" s="398" t="s">
        <v>721</v>
      </c>
      <c r="N1267" s="399">
        <v>11191</v>
      </c>
      <c r="O1267" s="399" t="s">
        <v>1540</v>
      </c>
      <c r="P1267" s="398" t="s">
        <v>574</v>
      </c>
    </row>
    <row r="1268" spans="1:16" s="401" customFormat="1" ht="48">
      <c r="A1268" s="429">
        <f t="shared" si="62"/>
        <v>1265</v>
      </c>
      <c r="B1268" s="387">
        <v>46128</v>
      </c>
      <c r="C1268" s="388">
        <v>46082</v>
      </c>
      <c r="D1268" s="392" t="s">
        <v>248</v>
      </c>
      <c r="E1268" s="398" t="s">
        <v>602</v>
      </c>
      <c r="F1268" s="404">
        <v>127.88</v>
      </c>
      <c r="G1268" s="397" t="s">
        <v>3112</v>
      </c>
      <c r="H1268" s="389" t="s">
        <v>278</v>
      </c>
      <c r="I1268" s="398" t="s">
        <v>668</v>
      </c>
      <c r="J1268" s="399" t="s">
        <v>669</v>
      </c>
      <c r="K1268" s="390" t="str">
        <f t="shared" ref="K1268:K1293" si="64">IF(J1268="","",IF(LEN(J1268)&gt;14,IF(ISBLANK(J1268),"",J1268),REPLACE(REPLACE(J1268,1,3,"XXX"),13,2,"XX")))</f>
        <v>XXX077460001XX</v>
      </c>
      <c r="L1268" s="391"/>
      <c r="M1268" s="398" t="s">
        <v>721</v>
      </c>
      <c r="N1268" s="399">
        <v>176</v>
      </c>
      <c r="O1268" s="399" t="s">
        <v>1526</v>
      </c>
      <c r="P1268" s="398" t="s">
        <v>574</v>
      </c>
    </row>
    <row r="1269" spans="1:16" s="401" customFormat="1" ht="84">
      <c r="A1269" s="429">
        <f t="shared" si="62"/>
        <v>1266</v>
      </c>
      <c r="B1269" s="387">
        <v>46128</v>
      </c>
      <c r="C1269" s="388">
        <v>46082</v>
      </c>
      <c r="D1269" s="392" t="s">
        <v>248</v>
      </c>
      <c r="E1269" s="481" t="s">
        <v>170</v>
      </c>
      <c r="F1269" s="404">
        <v>78.55</v>
      </c>
      <c r="G1269" s="397" t="s">
        <v>3113</v>
      </c>
      <c r="H1269" s="392" t="s">
        <v>278</v>
      </c>
      <c r="I1269" s="398" t="s">
        <v>668</v>
      </c>
      <c r="J1269" s="399" t="s">
        <v>669</v>
      </c>
      <c r="K1269" s="390" t="str">
        <f t="shared" si="64"/>
        <v>XXX077460001XX</v>
      </c>
      <c r="L1269" s="391"/>
      <c r="M1269" s="398" t="s">
        <v>721</v>
      </c>
      <c r="N1269" s="399">
        <v>259061</v>
      </c>
      <c r="O1269" s="399" t="s">
        <v>2113</v>
      </c>
      <c r="P1269" s="398" t="s">
        <v>574</v>
      </c>
    </row>
    <row r="1270" spans="1:16" s="401" customFormat="1" ht="86.25" customHeight="1">
      <c r="A1270" s="429">
        <f t="shared" si="62"/>
        <v>1267</v>
      </c>
      <c r="B1270" s="387">
        <v>46128</v>
      </c>
      <c r="C1270" s="388">
        <v>46082</v>
      </c>
      <c r="D1270" s="392" t="s">
        <v>248</v>
      </c>
      <c r="E1270" s="398" t="s">
        <v>758</v>
      </c>
      <c r="F1270" s="404">
        <v>4496.04</v>
      </c>
      <c r="G1270" s="397" t="s">
        <v>3114</v>
      </c>
      <c r="H1270" s="392" t="s">
        <v>738</v>
      </c>
      <c r="I1270" s="398" t="s">
        <v>668</v>
      </c>
      <c r="J1270" s="399" t="s">
        <v>669</v>
      </c>
      <c r="K1270" s="390" t="str">
        <f t="shared" si="64"/>
        <v>XXX077460001XX</v>
      </c>
      <c r="L1270" s="391"/>
      <c r="M1270" s="398" t="s">
        <v>721</v>
      </c>
      <c r="N1270" s="399">
        <v>216</v>
      </c>
      <c r="O1270" s="399" t="s">
        <v>1542</v>
      </c>
      <c r="P1270" s="398" t="s">
        <v>574</v>
      </c>
    </row>
    <row r="1271" spans="1:16" s="401" customFormat="1" ht="72">
      <c r="A1271" s="429">
        <f t="shared" si="62"/>
        <v>1268</v>
      </c>
      <c r="B1271" s="387">
        <v>46128</v>
      </c>
      <c r="C1271" s="388">
        <v>46082</v>
      </c>
      <c r="D1271" s="392" t="s">
        <v>248</v>
      </c>
      <c r="E1271" s="482" t="s">
        <v>78</v>
      </c>
      <c r="F1271" s="404">
        <v>39.06</v>
      </c>
      <c r="G1271" s="397" t="s">
        <v>3115</v>
      </c>
      <c r="H1271" s="389" t="s">
        <v>736</v>
      </c>
      <c r="I1271" s="398" t="s">
        <v>668</v>
      </c>
      <c r="J1271" s="399" t="s">
        <v>669</v>
      </c>
      <c r="K1271" s="390" t="str">
        <f t="shared" si="64"/>
        <v>XXX077460001XX</v>
      </c>
      <c r="L1271" s="391"/>
      <c r="M1271" s="398" t="s">
        <v>721</v>
      </c>
      <c r="N1271" s="399">
        <v>15</v>
      </c>
      <c r="O1271" s="399" t="s">
        <v>1538</v>
      </c>
      <c r="P1271" s="398" t="s">
        <v>868</v>
      </c>
    </row>
    <row r="1272" spans="1:16" s="401" customFormat="1" ht="36">
      <c r="A1272" s="429">
        <f t="shared" si="62"/>
        <v>1269</v>
      </c>
      <c r="B1272" s="387">
        <v>46128</v>
      </c>
      <c r="C1272" s="388">
        <v>46082</v>
      </c>
      <c r="D1272" s="392" t="s">
        <v>248</v>
      </c>
      <c r="E1272" s="398" t="s">
        <v>595</v>
      </c>
      <c r="F1272" s="404">
        <v>162.75</v>
      </c>
      <c r="G1272" s="397" t="s">
        <v>2409</v>
      </c>
      <c r="H1272" s="389" t="s">
        <v>738</v>
      </c>
      <c r="I1272" s="398" t="s">
        <v>668</v>
      </c>
      <c r="J1272" s="399" t="s">
        <v>669</v>
      </c>
      <c r="K1272" s="390" t="str">
        <f t="shared" si="64"/>
        <v>XXX077460001XX</v>
      </c>
      <c r="L1272" s="391"/>
      <c r="M1272" s="398" t="s">
        <v>721</v>
      </c>
      <c r="N1272" s="399">
        <v>20922</v>
      </c>
      <c r="O1272" s="399" t="s">
        <v>1522</v>
      </c>
      <c r="P1272" s="398" t="s">
        <v>868</v>
      </c>
    </row>
    <row r="1273" spans="1:16" s="401" customFormat="1" ht="36">
      <c r="A1273" s="429">
        <f t="shared" si="62"/>
        <v>1270</v>
      </c>
      <c r="B1273" s="387">
        <v>46128</v>
      </c>
      <c r="C1273" s="388">
        <v>46082</v>
      </c>
      <c r="D1273" s="392" t="s">
        <v>248</v>
      </c>
      <c r="E1273" s="398" t="s">
        <v>604</v>
      </c>
      <c r="F1273" s="404">
        <v>556.09</v>
      </c>
      <c r="G1273" s="397" t="s">
        <v>2409</v>
      </c>
      <c r="H1273" s="389" t="s">
        <v>1029</v>
      </c>
      <c r="I1273" s="398" t="s">
        <v>668</v>
      </c>
      <c r="J1273" s="399" t="s">
        <v>669</v>
      </c>
      <c r="K1273" s="390" t="str">
        <f t="shared" si="64"/>
        <v>XXX077460001XX</v>
      </c>
      <c r="L1273" s="391"/>
      <c r="M1273" s="398" t="s">
        <v>722</v>
      </c>
      <c r="N1273" s="399">
        <v>2280763</v>
      </c>
      <c r="O1273" s="399" t="s">
        <v>1536</v>
      </c>
      <c r="P1273" s="398" t="s">
        <v>868</v>
      </c>
    </row>
    <row r="1274" spans="1:16" s="401" customFormat="1" ht="36">
      <c r="A1274" s="429">
        <f t="shared" si="62"/>
        <v>1271</v>
      </c>
      <c r="B1274" s="387">
        <v>46128</v>
      </c>
      <c r="C1274" s="388">
        <v>46054</v>
      </c>
      <c r="D1274" s="392" t="s">
        <v>248</v>
      </c>
      <c r="E1274" s="482" t="s">
        <v>455</v>
      </c>
      <c r="F1274" s="404">
        <v>2994.73</v>
      </c>
      <c r="G1274" s="397" t="s">
        <v>3116</v>
      </c>
      <c r="H1274" s="389" t="s">
        <v>738</v>
      </c>
      <c r="I1274" s="398" t="s">
        <v>668</v>
      </c>
      <c r="J1274" s="399" t="s">
        <v>669</v>
      </c>
      <c r="K1274" s="390" t="str">
        <f t="shared" si="64"/>
        <v>XXX077460001XX</v>
      </c>
      <c r="L1274" s="391"/>
      <c r="M1274" s="398" t="s">
        <v>721</v>
      </c>
      <c r="N1274" s="399">
        <v>249</v>
      </c>
      <c r="O1274" s="399" t="s">
        <v>1530</v>
      </c>
      <c r="P1274" s="398" t="s">
        <v>868</v>
      </c>
    </row>
    <row r="1275" spans="1:16" s="401" customFormat="1" ht="36">
      <c r="A1275" s="429">
        <f t="shared" si="62"/>
        <v>1272</v>
      </c>
      <c r="B1275" s="387">
        <v>46128</v>
      </c>
      <c r="C1275" s="388">
        <v>46082</v>
      </c>
      <c r="D1275" s="392" t="s">
        <v>248</v>
      </c>
      <c r="E1275" s="482" t="s">
        <v>78</v>
      </c>
      <c r="F1275" s="404">
        <v>184.33</v>
      </c>
      <c r="G1275" s="397" t="s">
        <v>3117</v>
      </c>
      <c r="H1275" s="389" t="s">
        <v>738</v>
      </c>
      <c r="I1275" s="398" t="s">
        <v>668</v>
      </c>
      <c r="J1275" s="399" t="s">
        <v>669</v>
      </c>
      <c r="K1275" s="390" t="str">
        <f t="shared" si="64"/>
        <v>XXX077460001XX</v>
      </c>
      <c r="L1275" s="391"/>
      <c r="M1275" s="398" t="s">
        <v>721</v>
      </c>
      <c r="N1275" s="399">
        <v>382</v>
      </c>
      <c r="O1275" s="399" t="s">
        <v>1540</v>
      </c>
      <c r="P1275" s="398" t="s">
        <v>868</v>
      </c>
    </row>
    <row r="1276" spans="1:16" s="401" customFormat="1" ht="36">
      <c r="A1276" s="429">
        <f t="shared" si="62"/>
        <v>1273</v>
      </c>
      <c r="B1276" s="387">
        <v>46128</v>
      </c>
      <c r="C1276" s="388">
        <v>46082</v>
      </c>
      <c r="D1276" s="392" t="s">
        <v>248</v>
      </c>
      <c r="E1276" s="398" t="s">
        <v>595</v>
      </c>
      <c r="F1276" s="404">
        <v>106.86</v>
      </c>
      <c r="G1276" s="397" t="s">
        <v>2409</v>
      </c>
      <c r="H1276" s="389" t="s">
        <v>738</v>
      </c>
      <c r="I1276" s="398" t="s">
        <v>668</v>
      </c>
      <c r="J1276" s="399" t="s">
        <v>669</v>
      </c>
      <c r="K1276" s="390" t="str">
        <f t="shared" si="64"/>
        <v>XXX077460001XX</v>
      </c>
      <c r="L1276" s="391"/>
      <c r="M1276" s="398" t="s">
        <v>721</v>
      </c>
      <c r="N1276" s="399">
        <v>742</v>
      </c>
      <c r="O1276" s="399" t="s">
        <v>1520</v>
      </c>
      <c r="P1276" s="398" t="s">
        <v>868</v>
      </c>
    </row>
    <row r="1277" spans="1:16" s="401" customFormat="1" ht="48">
      <c r="A1277" s="429">
        <f t="shared" si="62"/>
        <v>1274</v>
      </c>
      <c r="B1277" s="387">
        <v>46128</v>
      </c>
      <c r="C1277" s="388">
        <v>46113</v>
      </c>
      <c r="D1277" s="392" t="s">
        <v>248</v>
      </c>
      <c r="E1277" s="398" t="s">
        <v>597</v>
      </c>
      <c r="F1277" s="404">
        <v>1199</v>
      </c>
      <c r="G1277" s="397" t="s">
        <v>2410</v>
      </c>
      <c r="H1277" s="389" t="s">
        <v>278</v>
      </c>
      <c r="I1277" s="398" t="s">
        <v>1472</v>
      </c>
      <c r="J1277" s="399" t="s">
        <v>1473</v>
      </c>
      <c r="K1277" s="390" t="str">
        <f t="shared" si="64"/>
        <v>XXX735210001XX</v>
      </c>
      <c r="L1277" s="391"/>
      <c r="M1277" s="398" t="s">
        <v>706</v>
      </c>
      <c r="N1277" s="399">
        <v>66360553</v>
      </c>
      <c r="O1277" s="399" t="s">
        <v>2099</v>
      </c>
      <c r="P1277" s="398" t="s">
        <v>574</v>
      </c>
    </row>
    <row r="1278" spans="1:16" s="401" customFormat="1" ht="48">
      <c r="A1278" s="429">
        <f t="shared" ref="A1278:A1321" si="65">IF(B1278="","",ROW()-ROW($A$3))</f>
        <v>1275</v>
      </c>
      <c r="B1278" s="387">
        <v>46128</v>
      </c>
      <c r="C1278" s="388">
        <v>46113</v>
      </c>
      <c r="D1278" s="389" t="s">
        <v>132</v>
      </c>
      <c r="E1278" s="483" t="s">
        <v>209</v>
      </c>
      <c r="F1278" s="404">
        <v>745.44</v>
      </c>
      <c r="G1278" s="397" t="s">
        <v>2411</v>
      </c>
      <c r="H1278" s="389" t="s">
        <v>278</v>
      </c>
      <c r="I1278" s="398" t="s">
        <v>1472</v>
      </c>
      <c r="J1278" s="399" t="s">
        <v>1473</v>
      </c>
      <c r="K1278" s="390" t="str">
        <f t="shared" si="64"/>
        <v>XXX735210001XX</v>
      </c>
      <c r="L1278" s="391"/>
      <c r="M1278" s="398" t="s">
        <v>706</v>
      </c>
      <c r="N1278" s="399">
        <v>115582045</v>
      </c>
      <c r="O1278" s="399" t="s">
        <v>2099</v>
      </c>
      <c r="P1278" s="398" t="s">
        <v>574</v>
      </c>
    </row>
    <row r="1279" spans="1:16" s="401" customFormat="1" ht="36">
      <c r="A1279" s="429">
        <f t="shared" si="65"/>
        <v>1276</v>
      </c>
      <c r="B1279" s="387">
        <v>46128</v>
      </c>
      <c r="C1279" s="388">
        <v>46113</v>
      </c>
      <c r="D1279" s="392" t="s">
        <v>248</v>
      </c>
      <c r="E1279" s="482" t="s">
        <v>171</v>
      </c>
      <c r="F1279" s="404">
        <v>1427.79</v>
      </c>
      <c r="G1279" s="397" t="s">
        <v>2412</v>
      </c>
      <c r="H1279" s="389" t="s">
        <v>278</v>
      </c>
      <c r="I1279" s="398" t="s">
        <v>660</v>
      </c>
      <c r="J1279" s="399" t="s">
        <v>661</v>
      </c>
      <c r="K1279" s="390" t="str">
        <f t="shared" si="64"/>
        <v>XXX500340001XX</v>
      </c>
      <c r="L1279" s="391"/>
      <c r="M1279" s="398" t="s">
        <v>707</v>
      </c>
      <c r="N1279" s="399">
        <v>39</v>
      </c>
      <c r="O1279" s="399" t="s">
        <v>2095</v>
      </c>
      <c r="P1279" s="398" t="s">
        <v>868</v>
      </c>
    </row>
    <row r="1280" spans="1:16" s="401" customFormat="1" ht="60">
      <c r="A1280" s="429">
        <f t="shared" si="65"/>
        <v>1277</v>
      </c>
      <c r="B1280" s="387">
        <v>46128</v>
      </c>
      <c r="C1280" s="388">
        <v>46113</v>
      </c>
      <c r="D1280" s="392" t="s">
        <v>248</v>
      </c>
      <c r="E1280" s="398" t="s">
        <v>1551</v>
      </c>
      <c r="F1280" s="404">
        <v>2395.8000000000002</v>
      </c>
      <c r="G1280" s="397" t="s">
        <v>2413</v>
      </c>
      <c r="H1280" s="389" t="s">
        <v>737</v>
      </c>
      <c r="I1280" s="398" t="s">
        <v>2211</v>
      </c>
      <c r="J1280" s="399" t="s">
        <v>2212</v>
      </c>
      <c r="K1280" s="390" t="str">
        <f t="shared" si="64"/>
        <v>XXX280750001XX</v>
      </c>
      <c r="L1280" s="391"/>
      <c r="M1280" s="398" t="s">
        <v>707</v>
      </c>
      <c r="N1280" s="399">
        <v>113</v>
      </c>
      <c r="O1280" s="399" t="s">
        <v>2099</v>
      </c>
      <c r="P1280" s="398" t="s">
        <v>868</v>
      </c>
    </row>
    <row r="1281" spans="1:16" s="401" customFormat="1" ht="36">
      <c r="A1281" s="429">
        <f t="shared" si="65"/>
        <v>1278</v>
      </c>
      <c r="B1281" s="387">
        <v>46128</v>
      </c>
      <c r="C1281" s="388">
        <v>46113</v>
      </c>
      <c r="D1281" s="392" t="s">
        <v>248</v>
      </c>
      <c r="E1281" s="482" t="s">
        <v>171</v>
      </c>
      <c r="F1281" s="404">
        <v>301.25</v>
      </c>
      <c r="G1281" s="397" t="s">
        <v>2414</v>
      </c>
      <c r="H1281" s="389" t="s">
        <v>278</v>
      </c>
      <c r="I1281" s="398" t="s">
        <v>676</v>
      </c>
      <c r="J1281" s="399" t="s">
        <v>677</v>
      </c>
      <c r="K1281" s="390" t="str">
        <f t="shared" si="64"/>
        <v>XXX432920001XX</v>
      </c>
      <c r="L1281" s="391"/>
      <c r="M1281" s="398" t="s">
        <v>704</v>
      </c>
      <c r="N1281" s="399">
        <v>274</v>
      </c>
      <c r="O1281" s="399" t="s">
        <v>2094</v>
      </c>
      <c r="P1281" s="398" t="s">
        <v>574</v>
      </c>
    </row>
    <row r="1282" spans="1:16" s="401" customFormat="1" ht="36">
      <c r="A1282" s="429">
        <f t="shared" si="65"/>
        <v>1279</v>
      </c>
      <c r="B1282" s="387">
        <v>46129</v>
      </c>
      <c r="C1282" s="388">
        <v>46082</v>
      </c>
      <c r="D1282" s="392" t="s">
        <v>248</v>
      </c>
      <c r="E1282" s="398" t="s">
        <v>597</v>
      </c>
      <c r="F1282" s="404">
        <v>950</v>
      </c>
      <c r="G1282" s="397" t="s">
        <v>2415</v>
      </c>
      <c r="H1282" s="389" t="s">
        <v>278</v>
      </c>
      <c r="I1282" s="398" t="s">
        <v>2213</v>
      </c>
      <c r="J1282" s="399" t="s">
        <v>2214</v>
      </c>
      <c r="K1282" s="390" t="str">
        <f t="shared" si="64"/>
        <v>XXX783140001XX</v>
      </c>
      <c r="L1282" s="391"/>
      <c r="M1282" s="398" t="s">
        <v>708</v>
      </c>
      <c r="N1282" s="399">
        <v>51477</v>
      </c>
      <c r="O1282" s="399" t="s">
        <v>1525</v>
      </c>
      <c r="P1282" s="398" t="s">
        <v>574</v>
      </c>
    </row>
    <row r="1283" spans="1:16" s="401" customFormat="1" ht="60">
      <c r="A1283" s="429">
        <f t="shared" si="65"/>
        <v>1280</v>
      </c>
      <c r="B1283" s="387">
        <v>46129</v>
      </c>
      <c r="C1283" s="388">
        <v>46082</v>
      </c>
      <c r="D1283" s="392" t="s">
        <v>248</v>
      </c>
      <c r="E1283" s="398" t="s">
        <v>592</v>
      </c>
      <c r="F1283" s="404">
        <v>2151.94</v>
      </c>
      <c r="G1283" s="397" t="s">
        <v>2319</v>
      </c>
      <c r="H1283" s="389" t="s">
        <v>1029</v>
      </c>
      <c r="I1283" s="398" t="s">
        <v>1133</v>
      </c>
      <c r="J1283" s="399" t="s">
        <v>1134</v>
      </c>
      <c r="K1283" s="390" t="str">
        <f t="shared" si="64"/>
        <v>XXX144080001XX</v>
      </c>
      <c r="L1283" s="391"/>
      <c r="M1283" s="398" t="s">
        <v>708</v>
      </c>
      <c r="N1283" s="399">
        <v>727</v>
      </c>
      <c r="O1283" s="399" t="s">
        <v>1534</v>
      </c>
      <c r="P1283" s="398" t="s">
        <v>574</v>
      </c>
    </row>
    <row r="1284" spans="1:16" s="401" customFormat="1" ht="60">
      <c r="A1284" s="429">
        <f t="shared" si="65"/>
        <v>1281</v>
      </c>
      <c r="B1284" s="387">
        <v>46129</v>
      </c>
      <c r="C1284" s="388">
        <v>46082</v>
      </c>
      <c r="D1284" s="392" t="s">
        <v>248</v>
      </c>
      <c r="E1284" s="398" t="s">
        <v>597</v>
      </c>
      <c r="F1284" s="404">
        <v>79.900000000000006</v>
      </c>
      <c r="G1284" s="397" t="s">
        <v>2416</v>
      </c>
      <c r="H1284" s="389" t="s">
        <v>278</v>
      </c>
      <c r="I1284" s="398" t="s">
        <v>1421</v>
      </c>
      <c r="J1284" s="399" t="s">
        <v>2215</v>
      </c>
      <c r="K1284" s="390" t="str">
        <f t="shared" si="64"/>
        <v>XXX838110123XX</v>
      </c>
      <c r="L1284" s="391"/>
      <c r="M1284" s="398" t="s">
        <v>704</v>
      </c>
      <c r="N1284" s="399">
        <v>145367</v>
      </c>
      <c r="O1284" s="399" t="s">
        <v>1537</v>
      </c>
      <c r="P1284" s="398" t="s">
        <v>574</v>
      </c>
    </row>
    <row r="1285" spans="1:16" s="401" customFormat="1" ht="36">
      <c r="A1285" s="429">
        <f t="shared" si="65"/>
        <v>1282</v>
      </c>
      <c r="B1285" s="387">
        <v>46129</v>
      </c>
      <c r="C1285" s="388">
        <v>46082</v>
      </c>
      <c r="D1285" s="392" t="s">
        <v>248</v>
      </c>
      <c r="E1285" s="481" t="s">
        <v>150</v>
      </c>
      <c r="F1285" s="404">
        <v>33.92</v>
      </c>
      <c r="G1285" s="397" t="s">
        <v>2417</v>
      </c>
      <c r="H1285" s="389" t="s">
        <v>278</v>
      </c>
      <c r="I1285" s="398" t="s">
        <v>641</v>
      </c>
      <c r="J1285" s="399" t="s">
        <v>642</v>
      </c>
      <c r="K1285" s="390" t="str">
        <f t="shared" si="64"/>
        <v>XXX581570009XX</v>
      </c>
      <c r="L1285" s="391"/>
      <c r="M1285" s="398" t="s">
        <v>717</v>
      </c>
      <c r="N1285" s="399">
        <v>939671</v>
      </c>
      <c r="O1285" s="399" t="s">
        <v>2116</v>
      </c>
      <c r="P1285" s="398" t="s">
        <v>868</v>
      </c>
    </row>
    <row r="1286" spans="1:16" s="401" customFormat="1" ht="36">
      <c r="A1286" s="429">
        <f t="shared" si="65"/>
        <v>1283</v>
      </c>
      <c r="B1286" s="387">
        <v>46129</v>
      </c>
      <c r="C1286" s="388">
        <v>46082</v>
      </c>
      <c r="D1286" s="392" t="s">
        <v>248</v>
      </c>
      <c r="E1286" s="481" t="s">
        <v>151</v>
      </c>
      <c r="F1286" s="404">
        <v>173.98</v>
      </c>
      <c r="G1286" s="397" t="s">
        <v>2417</v>
      </c>
      <c r="H1286" s="389" t="s">
        <v>278</v>
      </c>
      <c r="I1286" s="398" t="s">
        <v>641</v>
      </c>
      <c r="J1286" s="399" t="s">
        <v>642</v>
      </c>
      <c r="K1286" s="390" t="str">
        <f t="shared" si="64"/>
        <v>XXX581570009XX</v>
      </c>
      <c r="L1286" s="391"/>
      <c r="M1286" s="398" t="s">
        <v>717</v>
      </c>
      <c r="N1286" s="399">
        <v>939671</v>
      </c>
      <c r="O1286" s="399" t="s">
        <v>2116</v>
      </c>
      <c r="P1286" s="398" t="s">
        <v>868</v>
      </c>
    </row>
    <row r="1287" spans="1:16" s="401" customFormat="1" ht="36">
      <c r="A1287" s="429">
        <f t="shared" si="65"/>
        <v>1284</v>
      </c>
      <c r="B1287" s="387">
        <v>46129</v>
      </c>
      <c r="C1287" s="388">
        <v>46082</v>
      </c>
      <c r="D1287" s="392" t="s">
        <v>248</v>
      </c>
      <c r="E1287" s="481" t="s">
        <v>150</v>
      </c>
      <c r="F1287" s="404">
        <v>154.44999999999999</v>
      </c>
      <c r="G1287" s="397" t="s">
        <v>2417</v>
      </c>
      <c r="H1287" s="389" t="s">
        <v>278</v>
      </c>
      <c r="I1287" s="398" t="s">
        <v>641</v>
      </c>
      <c r="J1287" s="399" t="s">
        <v>642</v>
      </c>
      <c r="K1287" s="390" t="str">
        <f t="shared" si="64"/>
        <v>XXX581570009XX</v>
      </c>
      <c r="L1287" s="391"/>
      <c r="M1287" s="398" t="s">
        <v>717</v>
      </c>
      <c r="N1287" s="399">
        <v>940152</v>
      </c>
      <c r="O1287" s="399" t="s">
        <v>2116</v>
      </c>
      <c r="P1287" s="398" t="s">
        <v>868</v>
      </c>
    </row>
    <row r="1288" spans="1:16" s="401" customFormat="1" ht="47.25" customHeight="1">
      <c r="A1288" s="429">
        <f t="shared" si="65"/>
        <v>1285</v>
      </c>
      <c r="B1288" s="387">
        <v>46129</v>
      </c>
      <c r="C1288" s="388">
        <v>46082</v>
      </c>
      <c r="D1288" s="392" t="s">
        <v>248</v>
      </c>
      <c r="E1288" s="481" t="s">
        <v>151</v>
      </c>
      <c r="F1288" s="404">
        <v>792.29</v>
      </c>
      <c r="G1288" s="397" t="s">
        <v>2417</v>
      </c>
      <c r="H1288" s="389" t="s">
        <v>278</v>
      </c>
      <c r="I1288" s="398" t="s">
        <v>641</v>
      </c>
      <c r="J1288" s="399" t="s">
        <v>642</v>
      </c>
      <c r="K1288" s="390" t="str">
        <f t="shared" si="64"/>
        <v>XXX581570009XX</v>
      </c>
      <c r="L1288" s="391"/>
      <c r="M1288" s="398" t="s">
        <v>717</v>
      </c>
      <c r="N1288" s="399">
        <v>940152</v>
      </c>
      <c r="O1288" s="399" t="s">
        <v>2116</v>
      </c>
      <c r="P1288" s="398" t="s">
        <v>868</v>
      </c>
    </row>
    <row r="1289" spans="1:16" s="401" customFormat="1" ht="48">
      <c r="A1289" s="429">
        <f t="shared" si="65"/>
        <v>1286</v>
      </c>
      <c r="B1289" s="387">
        <v>46129</v>
      </c>
      <c r="C1289" s="388">
        <v>46113</v>
      </c>
      <c r="D1289" s="392" t="s">
        <v>248</v>
      </c>
      <c r="E1289" s="398" t="s">
        <v>590</v>
      </c>
      <c r="F1289" s="404">
        <v>114.83</v>
      </c>
      <c r="G1289" s="397" t="s">
        <v>1635</v>
      </c>
      <c r="H1289" s="389" t="s">
        <v>736</v>
      </c>
      <c r="I1289" s="398" t="s">
        <v>670</v>
      </c>
      <c r="J1289" s="399" t="s">
        <v>671</v>
      </c>
      <c r="K1289" s="390" t="str">
        <f t="shared" si="64"/>
        <v>XXX902520003XX</v>
      </c>
      <c r="L1289" s="391"/>
      <c r="M1289" s="398" t="s">
        <v>704</v>
      </c>
      <c r="N1289" s="399">
        <v>2403939</v>
      </c>
      <c r="O1289" s="399" t="s">
        <v>2093</v>
      </c>
      <c r="P1289" s="398" t="s">
        <v>868</v>
      </c>
    </row>
    <row r="1290" spans="1:16" s="401" customFormat="1" ht="36">
      <c r="A1290" s="429">
        <f t="shared" si="65"/>
        <v>1287</v>
      </c>
      <c r="B1290" s="387">
        <v>46129</v>
      </c>
      <c r="C1290" s="388">
        <v>46082</v>
      </c>
      <c r="D1290" s="392" t="s">
        <v>166</v>
      </c>
      <c r="E1290" s="480" t="s">
        <v>234</v>
      </c>
      <c r="F1290" s="404">
        <v>179789.59</v>
      </c>
      <c r="G1290" s="397" t="s">
        <v>2418</v>
      </c>
      <c r="H1290" s="389" t="s">
        <v>166</v>
      </c>
      <c r="I1290" s="398" t="s">
        <v>668</v>
      </c>
      <c r="J1290" s="399" t="s">
        <v>669</v>
      </c>
      <c r="K1290" s="390" t="str">
        <f t="shared" si="64"/>
        <v>XXX077460001XX</v>
      </c>
      <c r="L1290" s="391"/>
      <c r="M1290" s="398" t="s">
        <v>723</v>
      </c>
      <c r="N1290" s="399">
        <v>2100</v>
      </c>
      <c r="O1290" s="399" t="s">
        <v>1521</v>
      </c>
      <c r="P1290" s="398" t="s">
        <v>868</v>
      </c>
    </row>
    <row r="1291" spans="1:16" s="401" customFormat="1" ht="36">
      <c r="A1291" s="429">
        <f t="shared" si="65"/>
        <v>1288</v>
      </c>
      <c r="B1291" s="387">
        <v>46129</v>
      </c>
      <c r="C1291" s="388">
        <v>46082</v>
      </c>
      <c r="D1291" s="392" t="s">
        <v>166</v>
      </c>
      <c r="E1291" s="398" t="s">
        <v>1210</v>
      </c>
      <c r="F1291" s="404">
        <v>102760.83</v>
      </c>
      <c r="G1291" s="397" t="s">
        <v>2419</v>
      </c>
      <c r="H1291" s="389" t="s">
        <v>166</v>
      </c>
      <c r="I1291" s="398" t="s">
        <v>668</v>
      </c>
      <c r="J1291" s="399" t="s">
        <v>669</v>
      </c>
      <c r="K1291" s="390" t="str">
        <f t="shared" si="64"/>
        <v>XXX077460001XX</v>
      </c>
      <c r="L1291" s="391"/>
      <c r="M1291" s="398" t="s">
        <v>2259</v>
      </c>
      <c r="N1291" s="399">
        <v>561</v>
      </c>
      <c r="O1291" s="399" t="s">
        <v>1521</v>
      </c>
      <c r="P1291" s="398" t="s">
        <v>868</v>
      </c>
    </row>
    <row r="1292" spans="1:16" s="401" customFormat="1" ht="36">
      <c r="A1292" s="429">
        <f t="shared" si="65"/>
        <v>1289</v>
      </c>
      <c r="B1292" s="387">
        <v>46129</v>
      </c>
      <c r="C1292" s="388">
        <v>46082</v>
      </c>
      <c r="D1292" s="392" t="s">
        <v>166</v>
      </c>
      <c r="E1292" s="480" t="s">
        <v>245</v>
      </c>
      <c r="F1292" s="404">
        <v>5217.05</v>
      </c>
      <c r="G1292" s="397" t="s">
        <v>2420</v>
      </c>
      <c r="H1292" s="389" t="s">
        <v>166</v>
      </c>
      <c r="I1292" s="398" t="s">
        <v>668</v>
      </c>
      <c r="J1292" s="399" t="s">
        <v>669</v>
      </c>
      <c r="K1292" s="390" t="str">
        <f t="shared" si="64"/>
        <v>XXX077460001XX</v>
      </c>
      <c r="L1292" s="391"/>
      <c r="M1292" s="398" t="s">
        <v>725</v>
      </c>
      <c r="N1292" s="399">
        <v>83010326</v>
      </c>
      <c r="O1292" s="399" t="s">
        <v>1521</v>
      </c>
      <c r="P1292" s="398" t="s">
        <v>868</v>
      </c>
    </row>
    <row r="1293" spans="1:16" s="401" customFormat="1" ht="48">
      <c r="A1293" s="429">
        <f t="shared" si="65"/>
        <v>1290</v>
      </c>
      <c r="B1293" s="387">
        <v>46129</v>
      </c>
      <c r="C1293" s="388">
        <v>46113</v>
      </c>
      <c r="D1293" s="392" t="s">
        <v>248</v>
      </c>
      <c r="E1293" s="398" t="s">
        <v>607</v>
      </c>
      <c r="F1293" s="491">
        <v>69</v>
      </c>
      <c r="G1293" s="397" t="s">
        <v>2421</v>
      </c>
      <c r="H1293" s="389" t="s">
        <v>736</v>
      </c>
      <c r="I1293" s="398" t="s">
        <v>2955</v>
      </c>
      <c r="J1293" s="399" t="s">
        <v>2956</v>
      </c>
      <c r="K1293" s="390" t="str">
        <f t="shared" si="64"/>
        <v>01.928.075/0016-86</v>
      </c>
      <c r="L1293" s="391"/>
      <c r="M1293" s="398" t="s">
        <v>710</v>
      </c>
      <c r="N1293" s="399">
        <v>127665</v>
      </c>
      <c r="O1293" s="399" t="s">
        <v>2100</v>
      </c>
      <c r="P1293" s="391" t="s">
        <v>2525</v>
      </c>
    </row>
    <row r="1294" spans="1:16" s="401" customFormat="1" ht="48">
      <c r="A1294" s="429">
        <f t="shared" si="65"/>
        <v>1291</v>
      </c>
      <c r="B1294" s="387">
        <v>46129</v>
      </c>
      <c r="C1294" s="388">
        <v>46113</v>
      </c>
      <c r="D1294" s="392" t="s">
        <v>248</v>
      </c>
      <c r="E1294" s="398" t="s">
        <v>597</v>
      </c>
      <c r="F1294" s="491">
        <v>15.96</v>
      </c>
      <c r="G1294" s="397" t="s">
        <v>2421</v>
      </c>
      <c r="H1294" s="389" t="s">
        <v>736</v>
      </c>
      <c r="I1294" s="398" t="s">
        <v>2955</v>
      </c>
      <c r="J1294" s="399" t="s">
        <v>2956</v>
      </c>
      <c r="K1294" s="390" t="str">
        <f t="shared" ref="K1294:K1308" si="66">IF(J1294="","",IF(LEN(J1294)&gt;14,IF(ISBLANK(J1294),"",J1294),REPLACE(REPLACE(J1294,1,3,"XXX"),13,2,"XX")))</f>
        <v>01.928.075/0016-86</v>
      </c>
      <c r="L1294" s="391"/>
      <c r="M1294" s="398" t="s">
        <v>710</v>
      </c>
      <c r="N1294" s="399">
        <v>127665</v>
      </c>
      <c r="O1294" s="399" t="s">
        <v>2100</v>
      </c>
      <c r="P1294" s="391" t="s">
        <v>2525</v>
      </c>
    </row>
    <row r="1295" spans="1:16" s="401" customFormat="1" ht="36">
      <c r="A1295" s="429">
        <f t="shared" si="65"/>
        <v>1292</v>
      </c>
      <c r="B1295" s="387">
        <v>46129</v>
      </c>
      <c r="C1295" s="388">
        <v>45992</v>
      </c>
      <c r="D1295" s="392" t="s">
        <v>166</v>
      </c>
      <c r="E1295" s="480" t="s">
        <v>160</v>
      </c>
      <c r="F1295" s="491">
        <v>2550</v>
      </c>
      <c r="G1295" s="397" t="s">
        <v>2520</v>
      </c>
      <c r="H1295" s="389" t="s">
        <v>166</v>
      </c>
      <c r="I1295" s="398" t="s">
        <v>2141</v>
      </c>
      <c r="J1295" s="399">
        <v>1744833300180</v>
      </c>
      <c r="K1295" s="390" t="str">
        <f t="shared" si="66"/>
        <v>XXX483330018XX</v>
      </c>
      <c r="L1295" s="391"/>
      <c r="M1295" s="398" t="s">
        <v>708</v>
      </c>
      <c r="N1295" s="399">
        <v>196</v>
      </c>
      <c r="O1295" s="399" t="s">
        <v>834</v>
      </c>
      <c r="P1295" s="398" t="s">
        <v>572</v>
      </c>
    </row>
    <row r="1296" spans="1:16" s="401" customFormat="1" ht="48">
      <c r="A1296" s="429">
        <f t="shared" si="65"/>
        <v>1293</v>
      </c>
      <c r="B1296" s="387">
        <v>46129</v>
      </c>
      <c r="C1296" s="388">
        <v>46082</v>
      </c>
      <c r="D1296" s="392" t="s">
        <v>248</v>
      </c>
      <c r="E1296" s="398" t="s">
        <v>605</v>
      </c>
      <c r="F1296" s="404">
        <v>57860.37</v>
      </c>
      <c r="G1296" s="397" t="s">
        <v>2422</v>
      </c>
      <c r="H1296" s="389" t="s">
        <v>278</v>
      </c>
      <c r="I1296" s="398" t="s">
        <v>637</v>
      </c>
      <c r="J1296" s="399" t="s">
        <v>638</v>
      </c>
      <c r="K1296" s="390" t="str">
        <f t="shared" si="66"/>
        <v>XXX128340001XX</v>
      </c>
      <c r="L1296" s="391"/>
      <c r="M1296" s="398" t="s">
        <v>720</v>
      </c>
      <c r="N1296" s="399">
        <v>74980326</v>
      </c>
      <c r="O1296" s="399" t="s">
        <v>1521</v>
      </c>
      <c r="P1296" s="398" t="s">
        <v>574</v>
      </c>
    </row>
    <row r="1297" spans="1:16" s="401" customFormat="1" ht="163.5" customHeight="1">
      <c r="A1297" s="429">
        <f t="shared" si="65"/>
        <v>1294</v>
      </c>
      <c r="B1297" s="387">
        <v>46132</v>
      </c>
      <c r="C1297" s="388">
        <v>46082</v>
      </c>
      <c r="D1297" s="392" t="s">
        <v>248</v>
      </c>
      <c r="E1297" s="482" t="s">
        <v>0</v>
      </c>
      <c r="F1297" s="404">
        <v>1698.86</v>
      </c>
      <c r="G1297" s="397" t="s">
        <v>2423</v>
      </c>
      <c r="H1297" s="389" t="s">
        <v>278</v>
      </c>
      <c r="I1297" s="398" t="s">
        <v>2218</v>
      </c>
      <c r="J1297" s="399" t="s">
        <v>2219</v>
      </c>
      <c r="K1297" s="390" t="str">
        <f t="shared" si="66"/>
        <v>XXX615130001XX</v>
      </c>
      <c r="L1297" s="391"/>
      <c r="M1297" s="398" t="s">
        <v>704</v>
      </c>
      <c r="N1297" s="399">
        <v>40244</v>
      </c>
      <c r="O1297" s="399" t="s">
        <v>1525</v>
      </c>
      <c r="P1297" s="398" t="s">
        <v>868</v>
      </c>
    </row>
    <row r="1298" spans="1:16" s="401" customFormat="1" ht="36">
      <c r="A1298" s="429">
        <f t="shared" si="65"/>
        <v>1295</v>
      </c>
      <c r="B1298" s="387">
        <v>46132</v>
      </c>
      <c r="C1298" s="388">
        <v>46113</v>
      </c>
      <c r="D1298" s="392" t="s">
        <v>248</v>
      </c>
      <c r="E1298" s="398" t="s">
        <v>592</v>
      </c>
      <c r="F1298" s="404">
        <v>210</v>
      </c>
      <c r="G1298" s="397" t="s">
        <v>2424</v>
      </c>
      <c r="H1298" s="389" t="s">
        <v>1029</v>
      </c>
      <c r="I1298" s="398" t="s">
        <v>645</v>
      </c>
      <c r="J1298" s="399" t="s">
        <v>646</v>
      </c>
      <c r="K1298" s="390" t="str">
        <f t="shared" si="66"/>
        <v>XXX460700001XX</v>
      </c>
      <c r="L1298" s="391"/>
      <c r="M1298" s="398" t="s">
        <v>708</v>
      </c>
      <c r="N1298" s="399">
        <v>2063</v>
      </c>
      <c r="O1298" s="399" t="s">
        <v>2093</v>
      </c>
      <c r="P1298" s="398" t="s">
        <v>574</v>
      </c>
    </row>
    <row r="1299" spans="1:16" s="401" customFormat="1" ht="36">
      <c r="A1299" s="429">
        <f t="shared" si="65"/>
        <v>1296</v>
      </c>
      <c r="B1299" s="387">
        <v>46132</v>
      </c>
      <c r="C1299" s="388">
        <v>46113</v>
      </c>
      <c r="D1299" s="392" t="s">
        <v>248</v>
      </c>
      <c r="E1299" s="398" t="s">
        <v>591</v>
      </c>
      <c r="F1299" s="404">
        <v>45</v>
      </c>
      <c r="G1299" s="397" t="s">
        <v>2424</v>
      </c>
      <c r="H1299" s="392" t="s">
        <v>1029</v>
      </c>
      <c r="I1299" s="398" t="s">
        <v>645</v>
      </c>
      <c r="J1299" s="399" t="s">
        <v>646</v>
      </c>
      <c r="K1299" s="390" t="str">
        <f t="shared" si="66"/>
        <v>XXX460700001XX</v>
      </c>
      <c r="L1299" s="391"/>
      <c r="M1299" s="398" t="s">
        <v>708</v>
      </c>
      <c r="N1299" s="399">
        <v>2063</v>
      </c>
      <c r="O1299" s="399" t="s">
        <v>2093</v>
      </c>
      <c r="P1299" s="398" t="s">
        <v>574</v>
      </c>
    </row>
    <row r="1300" spans="1:16" s="401" customFormat="1" ht="36">
      <c r="A1300" s="429">
        <f t="shared" si="65"/>
        <v>1297</v>
      </c>
      <c r="B1300" s="387">
        <v>46132</v>
      </c>
      <c r="C1300" s="388">
        <v>46082</v>
      </c>
      <c r="D1300" s="392" t="s">
        <v>248</v>
      </c>
      <c r="E1300" s="398" t="s">
        <v>590</v>
      </c>
      <c r="F1300" s="404">
        <v>2038.02</v>
      </c>
      <c r="G1300" s="397" t="s">
        <v>2952</v>
      </c>
      <c r="H1300" s="389" t="s">
        <v>736</v>
      </c>
      <c r="I1300" s="398" t="s">
        <v>670</v>
      </c>
      <c r="J1300" s="399" t="s">
        <v>671</v>
      </c>
      <c r="K1300" s="390" t="str">
        <f t="shared" si="66"/>
        <v>XXX902520003XX</v>
      </c>
      <c r="L1300" s="391"/>
      <c r="M1300" s="398" t="s">
        <v>704</v>
      </c>
      <c r="N1300" s="399">
        <v>5262767</v>
      </c>
      <c r="O1300" s="399" t="s">
        <v>1543</v>
      </c>
      <c r="P1300" s="398" t="s">
        <v>868</v>
      </c>
    </row>
    <row r="1301" spans="1:16" s="401" customFormat="1" ht="45.75" customHeight="1">
      <c r="A1301" s="429">
        <f t="shared" si="65"/>
        <v>1298</v>
      </c>
      <c r="B1301" s="387">
        <v>46134</v>
      </c>
      <c r="C1301" s="388">
        <v>46082</v>
      </c>
      <c r="D1301" s="392" t="s">
        <v>248</v>
      </c>
      <c r="E1301" s="398" t="s">
        <v>610</v>
      </c>
      <c r="F1301" s="404">
        <v>3480.15</v>
      </c>
      <c r="G1301" s="397" t="s">
        <v>2425</v>
      </c>
      <c r="H1301" s="389" t="s">
        <v>736</v>
      </c>
      <c r="I1301" s="398" t="s">
        <v>2220</v>
      </c>
      <c r="J1301" s="399" t="s">
        <v>2221</v>
      </c>
      <c r="K1301" s="390" t="str">
        <f t="shared" si="66"/>
        <v>XXX59658172 XX</v>
      </c>
      <c r="L1301" s="391"/>
      <c r="M1301" s="398" t="s">
        <v>719</v>
      </c>
      <c r="N1301" s="399">
        <v>74883</v>
      </c>
      <c r="O1301" s="399" t="s">
        <v>2109</v>
      </c>
      <c r="P1301" s="398" t="s">
        <v>574</v>
      </c>
    </row>
    <row r="1302" spans="1:16" s="401" customFormat="1" ht="76.5" customHeight="1">
      <c r="A1302" s="429">
        <f t="shared" si="65"/>
        <v>1299</v>
      </c>
      <c r="B1302" s="387">
        <v>46134</v>
      </c>
      <c r="C1302" s="388">
        <v>46113</v>
      </c>
      <c r="D1302" s="392" t="s">
        <v>248</v>
      </c>
      <c r="E1302" s="398" t="s">
        <v>608</v>
      </c>
      <c r="F1302" s="404">
        <v>390.68</v>
      </c>
      <c r="G1302" s="397" t="s">
        <v>2426</v>
      </c>
      <c r="H1302" s="392" t="s">
        <v>1029</v>
      </c>
      <c r="I1302" s="398" t="s">
        <v>645</v>
      </c>
      <c r="J1302" s="399" t="s">
        <v>646</v>
      </c>
      <c r="K1302" s="390" t="str">
        <f t="shared" si="66"/>
        <v>XXX460700001XX</v>
      </c>
      <c r="L1302" s="391"/>
      <c r="M1302" s="398" t="s">
        <v>708</v>
      </c>
      <c r="N1302" s="399">
        <v>2066</v>
      </c>
      <c r="O1302" s="399" t="s">
        <v>2094</v>
      </c>
      <c r="P1302" s="398" t="s">
        <v>574</v>
      </c>
    </row>
    <row r="1303" spans="1:16" s="401" customFormat="1" ht="75" customHeight="1">
      <c r="A1303" s="429">
        <f t="shared" si="65"/>
        <v>1300</v>
      </c>
      <c r="B1303" s="387">
        <v>46134</v>
      </c>
      <c r="C1303" s="388">
        <v>46113</v>
      </c>
      <c r="D1303" s="392" t="s">
        <v>248</v>
      </c>
      <c r="E1303" s="398" t="s">
        <v>608</v>
      </c>
      <c r="F1303" s="404">
        <v>8</v>
      </c>
      <c r="G1303" s="397" t="s">
        <v>2426</v>
      </c>
      <c r="H1303" s="392" t="s">
        <v>1029</v>
      </c>
      <c r="I1303" s="398" t="s">
        <v>645</v>
      </c>
      <c r="J1303" s="399" t="s">
        <v>646</v>
      </c>
      <c r="K1303" s="390" t="str">
        <f t="shared" si="66"/>
        <v>XXX460700001XX</v>
      </c>
      <c r="L1303" s="391"/>
      <c r="M1303" s="398" t="s">
        <v>708</v>
      </c>
      <c r="N1303" s="399">
        <v>2067</v>
      </c>
      <c r="O1303" s="399" t="s">
        <v>2094</v>
      </c>
      <c r="P1303" s="398" t="s">
        <v>574</v>
      </c>
    </row>
    <row r="1304" spans="1:16" s="401" customFormat="1" ht="36">
      <c r="A1304" s="429">
        <f t="shared" si="65"/>
        <v>1301</v>
      </c>
      <c r="B1304" s="387">
        <v>46134</v>
      </c>
      <c r="C1304" s="388">
        <v>46113</v>
      </c>
      <c r="D1304" s="392" t="s">
        <v>248</v>
      </c>
      <c r="E1304" s="398" t="s">
        <v>609</v>
      </c>
      <c r="F1304" s="404">
        <v>1377.48</v>
      </c>
      <c r="G1304" s="397" t="s">
        <v>2427</v>
      </c>
      <c r="H1304" s="389" t="s">
        <v>278</v>
      </c>
      <c r="I1304" s="398" t="s">
        <v>680</v>
      </c>
      <c r="J1304" s="399" t="s">
        <v>751</v>
      </c>
      <c r="K1304" s="390" t="str">
        <f t="shared" si="66"/>
        <v>XXX283160001XX</v>
      </c>
      <c r="L1304" s="391"/>
      <c r="M1304" s="398" t="s">
        <v>704</v>
      </c>
      <c r="N1304" s="399">
        <v>2502737</v>
      </c>
      <c r="O1304" s="399" t="s">
        <v>2095</v>
      </c>
      <c r="P1304" s="398" t="s">
        <v>574</v>
      </c>
    </row>
    <row r="1305" spans="1:16" s="401" customFormat="1" ht="76.5" customHeight="1">
      <c r="A1305" s="429">
        <f t="shared" si="65"/>
        <v>1302</v>
      </c>
      <c r="B1305" s="387">
        <v>46134</v>
      </c>
      <c r="C1305" s="388">
        <v>46113</v>
      </c>
      <c r="D1305" s="392" t="s">
        <v>248</v>
      </c>
      <c r="E1305" s="398" t="s">
        <v>608</v>
      </c>
      <c r="F1305" s="404">
        <v>188.89</v>
      </c>
      <c r="G1305" s="397" t="s">
        <v>2426</v>
      </c>
      <c r="H1305" s="392" t="s">
        <v>1029</v>
      </c>
      <c r="I1305" s="398" t="s">
        <v>645</v>
      </c>
      <c r="J1305" s="399" t="s">
        <v>646</v>
      </c>
      <c r="K1305" s="390" t="str">
        <f t="shared" si="66"/>
        <v>XXX460700001XX</v>
      </c>
      <c r="L1305" s="391"/>
      <c r="M1305" s="398" t="s">
        <v>708</v>
      </c>
      <c r="N1305" s="399">
        <v>1202026</v>
      </c>
      <c r="O1305" s="399" t="s">
        <v>2094</v>
      </c>
      <c r="P1305" s="398" t="s">
        <v>574</v>
      </c>
    </row>
    <row r="1306" spans="1:16" s="401" customFormat="1" ht="72" customHeight="1">
      <c r="A1306" s="429">
        <f t="shared" si="65"/>
        <v>1303</v>
      </c>
      <c r="B1306" s="387">
        <v>46134</v>
      </c>
      <c r="C1306" s="388">
        <v>46113</v>
      </c>
      <c r="D1306" s="392" t="s">
        <v>248</v>
      </c>
      <c r="E1306" s="398" t="s">
        <v>608</v>
      </c>
      <c r="F1306" s="404">
        <v>2.5499999999999998</v>
      </c>
      <c r="G1306" s="397" t="s">
        <v>2426</v>
      </c>
      <c r="H1306" s="392" t="s">
        <v>1029</v>
      </c>
      <c r="I1306" s="398" t="s">
        <v>645</v>
      </c>
      <c r="J1306" s="399" t="s">
        <v>646</v>
      </c>
      <c r="K1306" s="390" t="str">
        <f t="shared" si="66"/>
        <v>XXX460700001XX</v>
      </c>
      <c r="L1306" s="391"/>
      <c r="M1306" s="398" t="s">
        <v>708</v>
      </c>
      <c r="N1306" s="399">
        <v>1212026</v>
      </c>
      <c r="O1306" s="399" t="s">
        <v>2094</v>
      </c>
      <c r="P1306" s="398" t="s">
        <v>574</v>
      </c>
    </row>
    <row r="1307" spans="1:16" s="401" customFormat="1" ht="42.75" customHeight="1">
      <c r="A1307" s="429">
        <f t="shared" si="65"/>
        <v>1304</v>
      </c>
      <c r="B1307" s="387">
        <v>46134</v>
      </c>
      <c r="C1307" s="388">
        <v>46113</v>
      </c>
      <c r="D1307" s="392" t="s">
        <v>248</v>
      </c>
      <c r="E1307" s="398" t="s">
        <v>592</v>
      </c>
      <c r="F1307" s="404">
        <v>10919.6</v>
      </c>
      <c r="G1307" s="397" t="s">
        <v>2428</v>
      </c>
      <c r="H1307" s="392" t="s">
        <v>737</v>
      </c>
      <c r="I1307" s="398" t="s">
        <v>1042</v>
      </c>
      <c r="J1307" s="399" t="s">
        <v>1043</v>
      </c>
      <c r="K1307" s="390" t="str">
        <f t="shared" si="66"/>
        <v>XXX881150001XX</v>
      </c>
      <c r="L1307" s="391"/>
      <c r="M1307" s="398" t="s">
        <v>707</v>
      </c>
      <c r="N1307" s="399">
        <v>3089</v>
      </c>
      <c r="O1307" s="399" t="s">
        <v>2089</v>
      </c>
      <c r="P1307" s="398" t="s">
        <v>868</v>
      </c>
    </row>
    <row r="1308" spans="1:16" s="401" customFormat="1" ht="24">
      <c r="A1308" s="429">
        <f t="shared" si="65"/>
        <v>1305</v>
      </c>
      <c r="B1308" s="387">
        <v>46134</v>
      </c>
      <c r="C1308" s="388">
        <v>46113</v>
      </c>
      <c r="D1308" s="392" t="s">
        <v>166</v>
      </c>
      <c r="E1308" s="480" t="s">
        <v>452</v>
      </c>
      <c r="F1308" s="491">
        <v>33524.78</v>
      </c>
      <c r="G1308" s="397" t="s">
        <v>2429</v>
      </c>
      <c r="H1308" s="389" t="s">
        <v>166</v>
      </c>
      <c r="I1308" s="398" t="s">
        <v>2220</v>
      </c>
      <c r="J1308" s="399" t="s">
        <v>2221</v>
      </c>
      <c r="K1308" s="390" t="str">
        <f t="shared" si="66"/>
        <v>XXX59658172 XX</v>
      </c>
      <c r="L1308" s="391"/>
      <c r="M1308" s="398" t="s">
        <v>705</v>
      </c>
      <c r="N1308" s="399">
        <v>375</v>
      </c>
      <c r="O1308" s="399" t="s">
        <v>2089</v>
      </c>
      <c r="P1308" s="398" t="s">
        <v>573</v>
      </c>
    </row>
    <row r="1309" spans="1:16" s="401" customFormat="1" ht="36">
      <c r="A1309" s="429">
        <f t="shared" si="65"/>
        <v>1306</v>
      </c>
      <c r="B1309" s="387">
        <v>46134</v>
      </c>
      <c r="C1309" s="388">
        <v>46113</v>
      </c>
      <c r="D1309" s="389" t="s">
        <v>248</v>
      </c>
      <c r="E1309" s="482" t="s">
        <v>505</v>
      </c>
      <c r="F1309" s="491">
        <v>25</v>
      </c>
      <c r="G1309" s="397" t="s">
        <v>2430</v>
      </c>
      <c r="H1309" s="389" t="s">
        <v>278</v>
      </c>
      <c r="I1309" s="398" t="s">
        <v>2968</v>
      </c>
      <c r="J1309" s="399" t="s">
        <v>2969</v>
      </c>
      <c r="K1309" s="390" t="str">
        <f t="shared" ref="K1309:K1335" si="67">IF(J1309="","",IF(LEN(J1309)&gt;14,IF(ISBLANK(J1309),"",J1309),REPLACE(REPLACE(J1309,1,3,"XXX"),13,2,"XX")))</f>
        <v>44.964.774/0001-08</v>
      </c>
      <c r="L1309" s="391"/>
      <c r="M1309" s="398" t="s">
        <v>710</v>
      </c>
      <c r="N1309" s="399">
        <v>415</v>
      </c>
      <c r="O1309" s="399" t="s">
        <v>2102</v>
      </c>
      <c r="P1309" s="391" t="s">
        <v>2525</v>
      </c>
    </row>
    <row r="1310" spans="1:16" s="401" customFormat="1" ht="37.5" customHeight="1">
      <c r="A1310" s="429">
        <f t="shared" si="65"/>
        <v>1307</v>
      </c>
      <c r="B1310" s="387">
        <v>46135</v>
      </c>
      <c r="C1310" s="388">
        <v>46082</v>
      </c>
      <c r="D1310" s="392" t="s">
        <v>248</v>
      </c>
      <c r="E1310" s="398" t="s">
        <v>590</v>
      </c>
      <c r="F1310" s="404">
        <v>3000</v>
      </c>
      <c r="G1310" s="397" t="s">
        <v>2431</v>
      </c>
      <c r="H1310" s="389" t="s">
        <v>736</v>
      </c>
      <c r="I1310" s="398" t="s">
        <v>2224</v>
      </c>
      <c r="J1310" s="399" t="s">
        <v>2225</v>
      </c>
      <c r="K1310" s="390" t="str">
        <f t="shared" si="67"/>
        <v>XXX956430001XX</v>
      </c>
      <c r="L1310" s="391"/>
      <c r="M1310" s="398" t="s">
        <v>704</v>
      </c>
      <c r="N1310" s="399">
        <v>593</v>
      </c>
      <c r="O1310" s="399" t="s">
        <v>1542</v>
      </c>
      <c r="P1310" s="398" t="s">
        <v>868</v>
      </c>
    </row>
    <row r="1311" spans="1:16" s="401" customFormat="1" ht="48">
      <c r="A1311" s="429">
        <f t="shared" si="65"/>
        <v>1308</v>
      </c>
      <c r="B1311" s="387">
        <v>46135</v>
      </c>
      <c r="C1311" s="388">
        <v>46113</v>
      </c>
      <c r="D1311" s="392" t="s">
        <v>248</v>
      </c>
      <c r="E1311" s="398" t="s">
        <v>610</v>
      </c>
      <c r="F1311" s="404">
        <v>1775.57</v>
      </c>
      <c r="G1311" s="397" t="s">
        <v>2432</v>
      </c>
      <c r="H1311" s="389" t="s">
        <v>736</v>
      </c>
      <c r="I1311" s="398" t="s">
        <v>686</v>
      </c>
      <c r="J1311" s="399" t="s">
        <v>687</v>
      </c>
      <c r="K1311" s="390" t="str">
        <f t="shared" si="67"/>
        <v>XXX900500001XX</v>
      </c>
      <c r="L1311" s="391"/>
      <c r="M1311" s="398" t="s">
        <v>719</v>
      </c>
      <c r="N1311" s="399">
        <v>37388</v>
      </c>
      <c r="O1311" s="399" t="s">
        <v>2094</v>
      </c>
      <c r="P1311" s="398" t="s">
        <v>868</v>
      </c>
    </row>
    <row r="1312" spans="1:16" s="401" customFormat="1" ht="60">
      <c r="A1312" s="429">
        <f t="shared" si="65"/>
        <v>1309</v>
      </c>
      <c r="B1312" s="387">
        <v>46135</v>
      </c>
      <c r="C1312" s="388">
        <v>46113</v>
      </c>
      <c r="D1312" s="392" t="s">
        <v>248</v>
      </c>
      <c r="E1312" s="482" t="s">
        <v>78</v>
      </c>
      <c r="F1312" s="404">
        <v>5231.5200000000004</v>
      </c>
      <c r="G1312" s="397" t="s">
        <v>2284</v>
      </c>
      <c r="H1312" s="389" t="s">
        <v>736</v>
      </c>
      <c r="I1312" s="398" t="s">
        <v>2137</v>
      </c>
      <c r="J1312" s="399" t="s">
        <v>2138</v>
      </c>
      <c r="K1312" s="390" t="str">
        <f t="shared" si="67"/>
        <v>XXX136960001XX</v>
      </c>
      <c r="L1312" s="391"/>
      <c r="M1312" s="398" t="s">
        <v>707</v>
      </c>
      <c r="N1312" s="399">
        <v>16</v>
      </c>
      <c r="O1312" s="399" t="s">
        <v>2096</v>
      </c>
      <c r="P1312" s="398" t="s">
        <v>868</v>
      </c>
    </row>
    <row r="1313" spans="1:16" s="401" customFormat="1" ht="84">
      <c r="A1313" s="429">
        <f t="shared" si="65"/>
        <v>1310</v>
      </c>
      <c r="B1313" s="387">
        <v>46135</v>
      </c>
      <c r="C1313" s="388">
        <v>46113</v>
      </c>
      <c r="D1313" s="392" t="s">
        <v>248</v>
      </c>
      <c r="E1313" s="398" t="s">
        <v>610</v>
      </c>
      <c r="F1313" s="404">
        <v>540.94000000000005</v>
      </c>
      <c r="G1313" s="397" t="s">
        <v>2433</v>
      </c>
      <c r="H1313" s="389" t="s">
        <v>736</v>
      </c>
      <c r="I1313" s="398" t="s">
        <v>686</v>
      </c>
      <c r="J1313" s="399" t="s">
        <v>687</v>
      </c>
      <c r="K1313" s="390" t="str">
        <f t="shared" si="67"/>
        <v>XXX900500001XX</v>
      </c>
      <c r="L1313" s="391"/>
      <c r="M1313" s="398" t="s">
        <v>719</v>
      </c>
      <c r="N1313" s="399">
        <v>37391</v>
      </c>
      <c r="O1313" s="399" t="s">
        <v>2095</v>
      </c>
      <c r="P1313" s="398" t="s">
        <v>868</v>
      </c>
    </row>
    <row r="1314" spans="1:16" s="401" customFormat="1" ht="72">
      <c r="A1314" s="429">
        <f t="shared" si="65"/>
        <v>1311</v>
      </c>
      <c r="B1314" s="387">
        <v>46135</v>
      </c>
      <c r="C1314" s="388">
        <v>46113</v>
      </c>
      <c r="D1314" s="392" t="s">
        <v>248</v>
      </c>
      <c r="E1314" s="398" t="s">
        <v>743</v>
      </c>
      <c r="F1314" s="404">
        <v>1437.15</v>
      </c>
      <c r="G1314" s="397" t="s">
        <v>2434</v>
      </c>
      <c r="H1314" s="389" t="s">
        <v>737</v>
      </c>
      <c r="I1314" s="398" t="s">
        <v>2226</v>
      </c>
      <c r="J1314" s="399" t="s">
        <v>2227</v>
      </c>
      <c r="K1314" s="390" t="str">
        <f t="shared" si="67"/>
        <v>XXX106210001XX</v>
      </c>
      <c r="L1314" s="391"/>
      <c r="M1314" s="398" t="s">
        <v>708</v>
      </c>
      <c r="N1314" s="399">
        <v>64</v>
      </c>
      <c r="O1314" s="399" t="s">
        <v>2096</v>
      </c>
      <c r="P1314" s="398" t="s">
        <v>574</v>
      </c>
    </row>
    <row r="1315" spans="1:16" s="401" customFormat="1" ht="36">
      <c r="A1315" s="429">
        <f t="shared" si="65"/>
        <v>1312</v>
      </c>
      <c r="B1315" s="387">
        <v>46135</v>
      </c>
      <c r="C1315" s="388">
        <v>46113</v>
      </c>
      <c r="D1315" s="392" t="s">
        <v>248</v>
      </c>
      <c r="E1315" s="398" t="s">
        <v>590</v>
      </c>
      <c r="F1315" s="404">
        <v>1650</v>
      </c>
      <c r="G1315" s="397" t="s">
        <v>2435</v>
      </c>
      <c r="H1315" s="389" t="s">
        <v>736</v>
      </c>
      <c r="I1315" s="398" t="s">
        <v>2228</v>
      </c>
      <c r="J1315" s="399" t="s">
        <v>2229</v>
      </c>
      <c r="K1315" s="390" t="str">
        <f t="shared" si="67"/>
        <v>XXX091300001XX</v>
      </c>
      <c r="L1315" s="391"/>
      <c r="M1315" s="398" t="s">
        <v>707</v>
      </c>
      <c r="N1315" s="399">
        <v>14</v>
      </c>
      <c r="O1315" s="399" t="s">
        <v>2096</v>
      </c>
      <c r="P1315" s="398" t="s">
        <v>868</v>
      </c>
    </row>
    <row r="1316" spans="1:16" s="401" customFormat="1" ht="48">
      <c r="A1316" s="429">
        <f t="shared" si="65"/>
        <v>1313</v>
      </c>
      <c r="B1316" s="387">
        <v>46135</v>
      </c>
      <c r="C1316" s="388">
        <v>46113</v>
      </c>
      <c r="D1316" s="392" t="s">
        <v>248</v>
      </c>
      <c r="E1316" s="398" t="s">
        <v>590</v>
      </c>
      <c r="F1316" s="404">
        <v>1980</v>
      </c>
      <c r="G1316" s="397" t="s">
        <v>2436</v>
      </c>
      <c r="H1316" s="389" t="s">
        <v>736</v>
      </c>
      <c r="I1316" s="398" t="s">
        <v>2228</v>
      </c>
      <c r="J1316" s="399" t="s">
        <v>2229</v>
      </c>
      <c r="K1316" s="390" t="str">
        <f t="shared" si="67"/>
        <v>XXX091300001XX</v>
      </c>
      <c r="L1316" s="391"/>
      <c r="M1316" s="398" t="s">
        <v>913</v>
      </c>
      <c r="N1316" s="399">
        <v>13</v>
      </c>
      <c r="O1316" s="399" t="s">
        <v>2096</v>
      </c>
      <c r="P1316" s="398" t="s">
        <v>868</v>
      </c>
    </row>
    <row r="1317" spans="1:16" s="401" customFormat="1" ht="36">
      <c r="A1317" s="429">
        <f t="shared" si="65"/>
        <v>1314</v>
      </c>
      <c r="B1317" s="387">
        <v>46135</v>
      </c>
      <c r="C1317" s="388">
        <v>46113</v>
      </c>
      <c r="D1317" s="392" t="s">
        <v>248</v>
      </c>
      <c r="E1317" s="398" t="s">
        <v>1551</v>
      </c>
      <c r="F1317" s="404">
        <v>1016</v>
      </c>
      <c r="G1317" s="397" t="s">
        <v>2437</v>
      </c>
      <c r="H1317" s="389" t="s">
        <v>737</v>
      </c>
      <c r="I1317" s="398" t="s">
        <v>2133</v>
      </c>
      <c r="J1317" s="399" t="s">
        <v>2134</v>
      </c>
      <c r="K1317" s="390" t="str">
        <f t="shared" si="67"/>
        <v>XXX875400001XX</v>
      </c>
      <c r="L1317" s="391"/>
      <c r="M1317" s="398" t="s">
        <v>707</v>
      </c>
      <c r="N1317" s="399">
        <v>21</v>
      </c>
      <c r="O1317" s="399" t="s">
        <v>2097</v>
      </c>
      <c r="P1317" s="398" t="s">
        <v>868</v>
      </c>
    </row>
    <row r="1318" spans="1:16" s="401" customFormat="1" ht="44.25" customHeight="1">
      <c r="A1318" s="429">
        <f t="shared" si="65"/>
        <v>1315</v>
      </c>
      <c r="B1318" s="387">
        <v>46135</v>
      </c>
      <c r="C1318" s="388">
        <v>46113</v>
      </c>
      <c r="D1318" s="392" t="s">
        <v>248</v>
      </c>
      <c r="E1318" s="398" t="s">
        <v>1215</v>
      </c>
      <c r="F1318" s="404">
        <v>902</v>
      </c>
      <c r="G1318" s="397" t="s">
        <v>1319</v>
      </c>
      <c r="H1318" s="389" t="s">
        <v>278</v>
      </c>
      <c r="I1318" s="398" t="s">
        <v>2230</v>
      </c>
      <c r="J1318" s="399" t="s">
        <v>2231</v>
      </c>
      <c r="K1318" s="390" t="str">
        <f t="shared" si="67"/>
        <v>XXX55954611 XX</v>
      </c>
      <c r="L1318" s="391"/>
      <c r="M1318" s="398" t="s">
        <v>719</v>
      </c>
      <c r="N1318" s="399">
        <v>75204</v>
      </c>
      <c r="O1318" s="399" t="s">
        <v>2096</v>
      </c>
      <c r="P1318" s="398" t="s">
        <v>574</v>
      </c>
    </row>
    <row r="1319" spans="1:16" s="401" customFormat="1" ht="36">
      <c r="A1319" s="429">
        <f t="shared" si="65"/>
        <v>1316</v>
      </c>
      <c r="B1319" s="387">
        <v>46135</v>
      </c>
      <c r="C1319" s="388">
        <v>46113</v>
      </c>
      <c r="D1319" s="392" t="s">
        <v>248</v>
      </c>
      <c r="E1319" s="398" t="s">
        <v>1211</v>
      </c>
      <c r="F1319" s="404">
        <v>8075</v>
      </c>
      <c r="G1319" s="397" t="s">
        <v>2438</v>
      </c>
      <c r="H1319" s="389" t="s">
        <v>278</v>
      </c>
      <c r="I1319" s="398" t="s">
        <v>1165</v>
      </c>
      <c r="J1319" s="399" t="s">
        <v>1166</v>
      </c>
      <c r="K1319" s="390" t="str">
        <f t="shared" si="67"/>
        <v>XXX502630001XX</v>
      </c>
      <c r="L1319" s="391"/>
      <c r="M1319" s="398" t="s">
        <v>707</v>
      </c>
      <c r="N1319" s="399">
        <v>19</v>
      </c>
      <c r="O1319" s="399" t="s">
        <v>2097</v>
      </c>
      <c r="P1319" s="398" t="s">
        <v>868</v>
      </c>
    </row>
    <row r="1320" spans="1:16" s="401" customFormat="1" ht="60">
      <c r="A1320" s="429">
        <f t="shared" si="65"/>
        <v>1317</v>
      </c>
      <c r="B1320" s="387">
        <v>46135</v>
      </c>
      <c r="C1320" s="388">
        <v>46113</v>
      </c>
      <c r="D1320" s="392" t="s">
        <v>248</v>
      </c>
      <c r="E1320" s="398" t="s">
        <v>606</v>
      </c>
      <c r="F1320" s="404">
        <v>3000</v>
      </c>
      <c r="G1320" s="397" t="s">
        <v>2439</v>
      </c>
      <c r="H1320" s="389" t="s">
        <v>737</v>
      </c>
      <c r="I1320" s="398" t="s">
        <v>1159</v>
      </c>
      <c r="J1320" s="399" t="s">
        <v>1160</v>
      </c>
      <c r="K1320" s="390" t="str">
        <f t="shared" si="67"/>
        <v>XXX287000001XX</v>
      </c>
      <c r="L1320" s="391"/>
      <c r="M1320" s="398" t="s">
        <v>707</v>
      </c>
      <c r="N1320" s="399">
        <v>11</v>
      </c>
      <c r="O1320" s="399" t="s">
        <v>2100</v>
      </c>
      <c r="P1320" s="398" t="s">
        <v>868</v>
      </c>
    </row>
    <row r="1321" spans="1:16" s="401" customFormat="1" ht="48">
      <c r="A1321" s="429">
        <f t="shared" si="65"/>
        <v>1318</v>
      </c>
      <c r="B1321" s="387">
        <v>46135</v>
      </c>
      <c r="C1321" s="388">
        <v>46113</v>
      </c>
      <c r="D1321" s="392" t="s">
        <v>248</v>
      </c>
      <c r="E1321" s="481" t="s">
        <v>170</v>
      </c>
      <c r="F1321" s="404">
        <v>3347.99</v>
      </c>
      <c r="G1321" s="397" t="s">
        <v>1655</v>
      </c>
      <c r="H1321" s="392" t="s">
        <v>278</v>
      </c>
      <c r="I1321" s="398" t="s">
        <v>660</v>
      </c>
      <c r="J1321" s="399" t="s">
        <v>661</v>
      </c>
      <c r="K1321" s="390" t="str">
        <f t="shared" si="67"/>
        <v>XXX500340001XX</v>
      </c>
      <c r="L1321" s="391"/>
      <c r="M1321" s="398" t="s">
        <v>707</v>
      </c>
      <c r="N1321" s="399">
        <v>41</v>
      </c>
      <c r="O1321" s="399" t="s">
        <v>2100</v>
      </c>
      <c r="P1321" s="398" t="s">
        <v>868</v>
      </c>
    </row>
    <row r="1322" spans="1:16" s="401" customFormat="1" ht="36">
      <c r="A1322" s="429">
        <f t="shared" ref="A1322:A1372" si="68">IF(B1322="","",ROW()-ROW($A$3))</f>
        <v>1319</v>
      </c>
      <c r="B1322" s="387">
        <v>46135</v>
      </c>
      <c r="C1322" s="388">
        <v>46113</v>
      </c>
      <c r="D1322" s="392" t="s">
        <v>248</v>
      </c>
      <c r="E1322" s="398" t="s">
        <v>606</v>
      </c>
      <c r="F1322" s="404">
        <v>4091.43</v>
      </c>
      <c r="G1322" s="397" t="s">
        <v>2440</v>
      </c>
      <c r="H1322" s="389" t="s">
        <v>737</v>
      </c>
      <c r="I1322" s="398" t="s">
        <v>1119</v>
      </c>
      <c r="J1322" s="399" t="s">
        <v>1120</v>
      </c>
      <c r="K1322" s="390" t="str">
        <f t="shared" si="67"/>
        <v>XXX07677660 XX</v>
      </c>
      <c r="L1322" s="391"/>
      <c r="M1322" s="398" t="s">
        <v>719</v>
      </c>
      <c r="N1322" s="399">
        <v>169</v>
      </c>
      <c r="O1322" s="399" t="s">
        <v>2099</v>
      </c>
      <c r="P1322" s="398" t="s">
        <v>868</v>
      </c>
    </row>
    <row r="1323" spans="1:16" s="401" customFormat="1" ht="46.5" customHeight="1">
      <c r="A1323" s="429">
        <f t="shared" si="68"/>
        <v>1320</v>
      </c>
      <c r="B1323" s="387">
        <v>46135</v>
      </c>
      <c r="C1323" s="388">
        <v>46113</v>
      </c>
      <c r="D1323" s="392" t="s">
        <v>248</v>
      </c>
      <c r="E1323" s="398" t="s">
        <v>1550</v>
      </c>
      <c r="F1323" s="404">
        <v>1409.1</v>
      </c>
      <c r="G1323" s="397" t="s">
        <v>2441</v>
      </c>
      <c r="H1323" s="389" t="s">
        <v>736</v>
      </c>
      <c r="I1323" s="398" t="s">
        <v>686</v>
      </c>
      <c r="J1323" s="399" t="s">
        <v>687</v>
      </c>
      <c r="K1323" s="390" t="str">
        <f t="shared" si="67"/>
        <v>XXX900500001XX</v>
      </c>
      <c r="L1323" s="391"/>
      <c r="M1323" s="398" t="s">
        <v>719</v>
      </c>
      <c r="N1323" s="399">
        <v>4246</v>
      </c>
      <c r="O1323" s="399" t="s">
        <v>2097</v>
      </c>
      <c r="P1323" s="398" t="s">
        <v>868</v>
      </c>
    </row>
    <row r="1324" spans="1:16" s="401" customFormat="1" ht="36">
      <c r="A1324" s="429">
        <f t="shared" si="68"/>
        <v>1321</v>
      </c>
      <c r="B1324" s="387">
        <v>46135</v>
      </c>
      <c r="C1324" s="388">
        <v>46113</v>
      </c>
      <c r="D1324" s="392" t="s">
        <v>248</v>
      </c>
      <c r="E1324" s="398" t="s">
        <v>608</v>
      </c>
      <c r="F1324" s="404">
        <v>8400</v>
      </c>
      <c r="G1324" s="397" t="s">
        <v>1748</v>
      </c>
      <c r="H1324" s="389" t="s">
        <v>278</v>
      </c>
      <c r="I1324" s="398" t="s">
        <v>1509</v>
      </c>
      <c r="J1324" s="399" t="s">
        <v>1510</v>
      </c>
      <c r="K1324" s="390" t="str">
        <f t="shared" si="67"/>
        <v>XXX390470001XX</v>
      </c>
      <c r="L1324" s="391"/>
      <c r="M1324" s="398" t="s">
        <v>708</v>
      </c>
      <c r="N1324" s="399">
        <v>562</v>
      </c>
      <c r="O1324" s="399" t="s">
        <v>2099</v>
      </c>
      <c r="P1324" s="398" t="s">
        <v>574</v>
      </c>
    </row>
    <row r="1325" spans="1:16" s="401" customFormat="1" ht="48">
      <c r="A1325" s="429">
        <f t="shared" si="68"/>
        <v>1322</v>
      </c>
      <c r="B1325" s="387">
        <v>46135</v>
      </c>
      <c r="C1325" s="388">
        <v>46113</v>
      </c>
      <c r="D1325" s="392" t="s">
        <v>248</v>
      </c>
      <c r="E1325" s="398" t="s">
        <v>1552</v>
      </c>
      <c r="F1325" s="404">
        <v>26395.32</v>
      </c>
      <c r="G1325" s="397" t="s">
        <v>2442</v>
      </c>
      <c r="H1325" s="389" t="s">
        <v>736</v>
      </c>
      <c r="I1325" s="398" t="s">
        <v>2232</v>
      </c>
      <c r="J1325" s="399" t="s">
        <v>2233</v>
      </c>
      <c r="K1325" s="390" t="str">
        <f t="shared" si="67"/>
        <v>XXX020180001XX</v>
      </c>
      <c r="L1325" s="391"/>
      <c r="M1325" s="398" t="s">
        <v>719</v>
      </c>
      <c r="N1325" s="399">
        <v>823</v>
      </c>
      <c r="O1325" s="399" t="s">
        <v>2100</v>
      </c>
      <c r="P1325" s="398" t="s">
        <v>868</v>
      </c>
    </row>
    <row r="1326" spans="1:16" s="401" customFormat="1" ht="36">
      <c r="A1326" s="429">
        <f t="shared" si="68"/>
        <v>1323</v>
      </c>
      <c r="B1326" s="387">
        <v>46135</v>
      </c>
      <c r="C1326" s="388">
        <v>46113</v>
      </c>
      <c r="D1326" s="392" t="s">
        <v>248</v>
      </c>
      <c r="E1326" s="398" t="s">
        <v>601</v>
      </c>
      <c r="F1326" s="404">
        <v>10910.27</v>
      </c>
      <c r="G1326" s="397" t="s">
        <v>2443</v>
      </c>
      <c r="H1326" s="389" t="s">
        <v>278</v>
      </c>
      <c r="I1326" s="398" t="s">
        <v>643</v>
      </c>
      <c r="J1326" s="399" t="s">
        <v>644</v>
      </c>
      <c r="K1326" s="390" t="str">
        <f t="shared" si="67"/>
        <v>XXX156600001XX</v>
      </c>
      <c r="L1326" s="391"/>
      <c r="M1326" s="398" t="s">
        <v>719</v>
      </c>
      <c r="N1326" s="399">
        <v>212</v>
      </c>
      <c r="O1326" s="399" t="s">
        <v>2100</v>
      </c>
      <c r="P1326" s="398" t="s">
        <v>868</v>
      </c>
    </row>
    <row r="1327" spans="1:16" s="401" customFormat="1" ht="72">
      <c r="A1327" s="429">
        <f t="shared" si="68"/>
        <v>1324</v>
      </c>
      <c r="B1327" s="387">
        <v>46135</v>
      </c>
      <c r="C1327" s="388">
        <v>46113</v>
      </c>
      <c r="D1327" s="392" t="s">
        <v>248</v>
      </c>
      <c r="E1327" s="398" t="s">
        <v>610</v>
      </c>
      <c r="F1327" s="404">
        <v>5924.52</v>
      </c>
      <c r="G1327" s="397" t="s">
        <v>2444</v>
      </c>
      <c r="H1327" s="389" t="s">
        <v>736</v>
      </c>
      <c r="I1327" s="398" t="s">
        <v>686</v>
      </c>
      <c r="J1327" s="399" t="s">
        <v>687</v>
      </c>
      <c r="K1327" s="390" t="str">
        <f t="shared" si="67"/>
        <v>XXX900500001XX</v>
      </c>
      <c r="L1327" s="391"/>
      <c r="M1327" s="398" t="s">
        <v>719</v>
      </c>
      <c r="N1327" s="399">
        <v>37420</v>
      </c>
      <c r="O1327" s="399" t="s">
        <v>2100</v>
      </c>
      <c r="P1327" s="398" t="s">
        <v>868</v>
      </c>
    </row>
    <row r="1328" spans="1:16" s="401" customFormat="1" ht="48">
      <c r="A1328" s="429">
        <f t="shared" si="68"/>
        <v>1325</v>
      </c>
      <c r="B1328" s="387">
        <v>46135</v>
      </c>
      <c r="C1328" s="388">
        <v>46113</v>
      </c>
      <c r="D1328" s="392" t="s">
        <v>248</v>
      </c>
      <c r="E1328" s="398" t="s">
        <v>610</v>
      </c>
      <c r="F1328" s="404">
        <v>2121.6999999999998</v>
      </c>
      <c r="G1328" s="397" t="s">
        <v>2445</v>
      </c>
      <c r="H1328" s="389" t="s">
        <v>736</v>
      </c>
      <c r="I1328" s="398" t="s">
        <v>686</v>
      </c>
      <c r="J1328" s="399" t="s">
        <v>687</v>
      </c>
      <c r="K1328" s="390" t="str">
        <f t="shared" si="67"/>
        <v>XXX900500001XX</v>
      </c>
      <c r="L1328" s="391"/>
      <c r="M1328" s="398" t="s">
        <v>719</v>
      </c>
      <c r="N1328" s="399">
        <v>37400</v>
      </c>
      <c r="O1328" s="399" t="s">
        <v>2097</v>
      </c>
      <c r="P1328" s="398" t="s">
        <v>868</v>
      </c>
    </row>
    <row r="1329" spans="1:16" s="401" customFormat="1" ht="36">
      <c r="A1329" s="429">
        <f t="shared" si="68"/>
        <v>1326</v>
      </c>
      <c r="B1329" s="387">
        <v>46135</v>
      </c>
      <c r="C1329" s="388">
        <v>46113</v>
      </c>
      <c r="D1329" s="392" t="s">
        <v>248</v>
      </c>
      <c r="E1329" s="398" t="s">
        <v>1219</v>
      </c>
      <c r="F1329" s="404">
        <v>1825</v>
      </c>
      <c r="G1329" s="397" t="s">
        <v>2446</v>
      </c>
      <c r="H1329" s="389" t="s">
        <v>736</v>
      </c>
      <c r="I1329" s="398" t="s">
        <v>1161</v>
      </c>
      <c r="J1329" s="399" t="s">
        <v>1162</v>
      </c>
      <c r="K1329" s="390" t="str">
        <f t="shared" si="67"/>
        <v>XXX824370001XX</v>
      </c>
      <c r="L1329" s="391"/>
      <c r="M1329" s="398" t="s">
        <v>707</v>
      </c>
      <c r="N1329" s="399">
        <v>131</v>
      </c>
      <c r="O1329" s="399" t="s">
        <v>2097</v>
      </c>
      <c r="P1329" s="398" t="s">
        <v>868</v>
      </c>
    </row>
    <row r="1330" spans="1:16" s="401" customFormat="1" ht="36">
      <c r="A1330" s="429">
        <f t="shared" si="68"/>
        <v>1327</v>
      </c>
      <c r="B1330" s="387">
        <v>46135</v>
      </c>
      <c r="C1330" s="388">
        <v>46113</v>
      </c>
      <c r="D1330" s="392" t="s">
        <v>248</v>
      </c>
      <c r="E1330" s="398" t="s">
        <v>604</v>
      </c>
      <c r="F1330" s="404">
        <v>5400.96</v>
      </c>
      <c r="G1330" s="397" t="s">
        <v>1745</v>
      </c>
      <c r="H1330" s="389" t="s">
        <v>1029</v>
      </c>
      <c r="I1330" s="398" t="s">
        <v>1146</v>
      </c>
      <c r="J1330" s="399" t="s">
        <v>683</v>
      </c>
      <c r="K1330" s="390" t="str">
        <f t="shared" si="67"/>
        <v>XXX232120001XX</v>
      </c>
      <c r="L1330" s="391"/>
      <c r="M1330" s="398" t="s">
        <v>707</v>
      </c>
      <c r="N1330" s="399">
        <v>1170938</v>
      </c>
      <c r="O1330" s="399" t="s">
        <v>2094</v>
      </c>
      <c r="P1330" s="398" t="s">
        <v>868</v>
      </c>
    </row>
    <row r="1331" spans="1:16" s="401" customFormat="1" ht="36">
      <c r="A1331" s="429">
        <f t="shared" si="68"/>
        <v>1328</v>
      </c>
      <c r="B1331" s="387">
        <v>46135</v>
      </c>
      <c r="C1331" s="388">
        <v>46113</v>
      </c>
      <c r="D1331" s="392" t="s">
        <v>248</v>
      </c>
      <c r="E1331" s="398" t="s">
        <v>1214</v>
      </c>
      <c r="F1331" s="404">
        <v>198</v>
      </c>
      <c r="G1331" s="397" t="s">
        <v>2447</v>
      </c>
      <c r="H1331" s="389" t="s">
        <v>278</v>
      </c>
      <c r="I1331" s="398" t="s">
        <v>1111</v>
      </c>
      <c r="J1331" s="399" t="s">
        <v>1112</v>
      </c>
      <c r="K1331" s="390" t="str">
        <f t="shared" si="67"/>
        <v>XXX214350001XX</v>
      </c>
      <c r="L1331" s="391"/>
      <c r="M1331" s="398" t="s">
        <v>708</v>
      </c>
      <c r="N1331" s="399">
        <v>33</v>
      </c>
      <c r="O1331" s="399" t="s">
        <v>2099</v>
      </c>
      <c r="P1331" s="398" t="s">
        <v>574</v>
      </c>
    </row>
    <row r="1332" spans="1:16" s="401" customFormat="1" ht="24">
      <c r="A1332" s="429">
        <f t="shared" si="68"/>
        <v>1329</v>
      </c>
      <c r="B1332" s="387">
        <v>46135</v>
      </c>
      <c r="C1332" s="388">
        <v>46082</v>
      </c>
      <c r="D1332" s="392" t="s">
        <v>166</v>
      </c>
      <c r="E1332" s="480" t="s">
        <v>10</v>
      </c>
      <c r="F1332" s="491">
        <v>2266.65</v>
      </c>
      <c r="G1332" s="397" t="s">
        <v>2448</v>
      </c>
      <c r="H1332" s="389" t="s">
        <v>166</v>
      </c>
      <c r="I1332" s="398" t="s">
        <v>647</v>
      </c>
      <c r="J1332" s="399" t="s">
        <v>648</v>
      </c>
      <c r="K1332" s="390" t="str">
        <f t="shared" si="67"/>
        <v>XXX603050001XX</v>
      </c>
      <c r="L1332" s="391"/>
      <c r="M1332" s="398" t="s">
        <v>718</v>
      </c>
      <c r="N1332" s="399">
        <v>42026</v>
      </c>
      <c r="O1332" s="399" t="s">
        <v>1521</v>
      </c>
      <c r="P1332" s="398" t="s">
        <v>573</v>
      </c>
    </row>
    <row r="1333" spans="1:16" ht="36">
      <c r="A1333" s="429">
        <f t="shared" si="68"/>
        <v>1330</v>
      </c>
      <c r="B1333" s="387">
        <v>46135</v>
      </c>
      <c r="C1333" s="388">
        <v>46113</v>
      </c>
      <c r="D1333" s="392" t="s">
        <v>248</v>
      </c>
      <c r="E1333" s="398" t="s">
        <v>597</v>
      </c>
      <c r="F1333" s="491">
        <v>100</v>
      </c>
      <c r="G1333" s="397" t="s">
        <v>2449</v>
      </c>
      <c r="H1333" s="389" t="s">
        <v>278</v>
      </c>
      <c r="I1333" s="398" t="s">
        <v>2970</v>
      </c>
      <c r="J1333" s="399" t="s">
        <v>2971</v>
      </c>
      <c r="K1333" s="394" t="str">
        <f t="shared" si="67"/>
        <v>02.968.810/0001-61</v>
      </c>
      <c r="L1333" s="391"/>
      <c r="M1333" s="398" t="s">
        <v>710</v>
      </c>
      <c r="N1333" s="399">
        <v>75128</v>
      </c>
      <c r="O1333" s="399" t="s">
        <v>2103</v>
      </c>
      <c r="P1333" s="391" t="s">
        <v>2525</v>
      </c>
    </row>
    <row r="1334" spans="1:16" s="401" customFormat="1" ht="36">
      <c r="A1334" s="429">
        <f t="shared" si="68"/>
        <v>1331</v>
      </c>
      <c r="B1334" s="387">
        <v>46135</v>
      </c>
      <c r="C1334" s="388">
        <v>46113</v>
      </c>
      <c r="D1334" s="392" t="s">
        <v>248</v>
      </c>
      <c r="E1334" s="482" t="s">
        <v>0</v>
      </c>
      <c r="F1334" s="491">
        <v>91.5</v>
      </c>
      <c r="G1334" s="397" t="s">
        <v>2450</v>
      </c>
      <c r="H1334" s="389" t="s">
        <v>278</v>
      </c>
      <c r="I1334" s="398" t="s">
        <v>2972</v>
      </c>
      <c r="J1334" s="399" t="s">
        <v>2973</v>
      </c>
      <c r="K1334" s="390" t="str">
        <f t="shared" si="67"/>
        <v>43.283.811/0123-28</v>
      </c>
      <c r="L1334" s="391"/>
      <c r="M1334" s="398" t="s">
        <v>710</v>
      </c>
      <c r="N1334" s="399">
        <v>146630</v>
      </c>
      <c r="O1334" s="399" t="s">
        <v>2103</v>
      </c>
      <c r="P1334" s="391" t="s">
        <v>2525</v>
      </c>
    </row>
    <row r="1335" spans="1:16" s="401" customFormat="1" ht="36">
      <c r="A1335" s="429">
        <f t="shared" si="68"/>
        <v>1332</v>
      </c>
      <c r="B1335" s="387">
        <v>46135</v>
      </c>
      <c r="C1335" s="388">
        <v>46113</v>
      </c>
      <c r="D1335" s="392" t="s">
        <v>248</v>
      </c>
      <c r="E1335" s="398" t="s">
        <v>601</v>
      </c>
      <c r="F1335" s="404">
        <v>57.94</v>
      </c>
      <c r="G1335" s="397" t="s">
        <v>2451</v>
      </c>
      <c r="H1335" s="389" t="s">
        <v>278</v>
      </c>
      <c r="I1335" s="398" t="s">
        <v>2234</v>
      </c>
      <c r="J1335" s="399" t="s">
        <v>644</v>
      </c>
      <c r="K1335" s="390" t="str">
        <f t="shared" si="67"/>
        <v>XXX156600001XX</v>
      </c>
      <c r="L1335" s="391"/>
      <c r="M1335" s="398" t="s">
        <v>708</v>
      </c>
      <c r="N1335" s="399">
        <v>75406</v>
      </c>
      <c r="O1335" s="399" t="s">
        <v>2098</v>
      </c>
      <c r="P1335" s="398" t="s">
        <v>574</v>
      </c>
    </row>
    <row r="1336" spans="1:16" s="401" customFormat="1" ht="36">
      <c r="A1336" s="429">
        <f t="shared" si="68"/>
        <v>1333</v>
      </c>
      <c r="B1336" s="387">
        <v>46135</v>
      </c>
      <c r="C1336" s="388">
        <v>46113</v>
      </c>
      <c r="D1336" s="392" t="s">
        <v>353</v>
      </c>
      <c r="E1336" s="480" t="s">
        <v>153</v>
      </c>
      <c r="F1336" s="404">
        <v>40799.96</v>
      </c>
      <c r="G1336" s="397" t="s">
        <v>821</v>
      </c>
      <c r="H1336" s="389" t="s">
        <v>280</v>
      </c>
      <c r="I1336" s="394" t="s">
        <v>744</v>
      </c>
      <c r="J1336" s="455">
        <v>7837375000150</v>
      </c>
      <c r="K1336" s="390" t="str">
        <f t="shared" ref="K1336:K1359" si="69">IF(J1336="","",IF(LEN(J1336)&gt;14,IF(ISBLANK(J1336),"",J1336),REPLACE(REPLACE(J1336,1,3,"XXX"),13,2,"XX")))</f>
        <v>XXX737500015XX</v>
      </c>
      <c r="L1336" s="391"/>
      <c r="M1336" s="398" t="s">
        <v>706</v>
      </c>
      <c r="N1336" s="399">
        <v>2057887433</v>
      </c>
      <c r="O1336" s="399" t="s">
        <v>2103</v>
      </c>
      <c r="P1336" s="398" t="s">
        <v>574</v>
      </c>
    </row>
    <row r="1337" spans="1:16" s="401" customFormat="1" ht="48">
      <c r="A1337" s="429">
        <f t="shared" si="68"/>
        <v>1334</v>
      </c>
      <c r="B1337" s="387">
        <v>46135</v>
      </c>
      <c r="C1337" s="388">
        <v>46113</v>
      </c>
      <c r="D1337" s="392" t="s">
        <v>248</v>
      </c>
      <c r="E1337" s="398" t="s">
        <v>590</v>
      </c>
      <c r="F1337" s="404">
        <v>309.24</v>
      </c>
      <c r="G1337" s="397" t="s">
        <v>3145</v>
      </c>
      <c r="H1337" s="389" t="s">
        <v>736</v>
      </c>
      <c r="I1337" s="398" t="s">
        <v>668</v>
      </c>
      <c r="J1337" s="399" t="s">
        <v>669</v>
      </c>
      <c r="K1337" s="390" t="str">
        <f t="shared" si="69"/>
        <v>XXX077460001XX</v>
      </c>
      <c r="L1337" s="391"/>
      <c r="M1337" s="398" t="s">
        <v>1204</v>
      </c>
      <c r="N1337" s="399">
        <v>588375162</v>
      </c>
      <c r="O1337" s="399" t="s">
        <v>2103</v>
      </c>
      <c r="P1337" s="398" t="s">
        <v>574</v>
      </c>
    </row>
    <row r="1338" spans="1:16" s="401" customFormat="1" ht="48">
      <c r="A1338" s="429">
        <f t="shared" si="68"/>
        <v>1335</v>
      </c>
      <c r="B1338" s="387">
        <v>46135</v>
      </c>
      <c r="C1338" s="388">
        <v>46113</v>
      </c>
      <c r="D1338" s="392" t="s">
        <v>248</v>
      </c>
      <c r="E1338" s="398" t="s">
        <v>590</v>
      </c>
      <c r="F1338" s="404">
        <v>1752.36</v>
      </c>
      <c r="G1338" s="397" t="s">
        <v>2452</v>
      </c>
      <c r="H1338" s="389" t="s">
        <v>736</v>
      </c>
      <c r="I1338" s="398" t="s">
        <v>1100</v>
      </c>
      <c r="J1338" s="399" t="s">
        <v>773</v>
      </c>
      <c r="K1338" s="390" t="str">
        <f t="shared" si="69"/>
        <v>XXX000000000XX</v>
      </c>
      <c r="L1338" s="391"/>
      <c r="M1338" s="398" t="s">
        <v>727</v>
      </c>
      <c r="N1338" s="399">
        <v>588375162</v>
      </c>
      <c r="O1338" s="399" t="s">
        <v>2103</v>
      </c>
      <c r="P1338" s="398" t="s">
        <v>574</v>
      </c>
    </row>
    <row r="1339" spans="1:16" s="401" customFormat="1" ht="48">
      <c r="A1339" s="429">
        <f t="shared" si="68"/>
        <v>1336</v>
      </c>
      <c r="B1339" s="387">
        <v>46135</v>
      </c>
      <c r="C1339" s="388">
        <v>46113</v>
      </c>
      <c r="D1339" s="392" t="s">
        <v>248</v>
      </c>
      <c r="E1339" s="398" t="s">
        <v>590</v>
      </c>
      <c r="F1339" s="404">
        <v>61.33</v>
      </c>
      <c r="G1339" s="397" t="s">
        <v>2452</v>
      </c>
      <c r="H1339" s="389" t="s">
        <v>736</v>
      </c>
      <c r="I1339" s="398" t="s">
        <v>690</v>
      </c>
      <c r="J1339" s="399" t="s">
        <v>691</v>
      </c>
      <c r="K1339" s="390" t="str">
        <f t="shared" si="69"/>
        <v>XXX011900001XX</v>
      </c>
      <c r="L1339" s="391"/>
      <c r="M1339" s="398" t="s">
        <v>1203</v>
      </c>
      <c r="N1339" s="399">
        <v>588375162</v>
      </c>
      <c r="O1339" s="399" t="s">
        <v>2103</v>
      </c>
      <c r="P1339" s="398" t="s">
        <v>574</v>
      </c>
    </row>
    <row r="1340" spans="1:16" s="401" customFormat="1" ht="36">
      <c r="A1340" s="429">
        <f t="shared" si="68"/>
        <v>1337</v>
      </c>
      <c r="B1340" s="387">
        <v>46135</v>
      </c>
      <c r="C1340" s="388">
        <v>46113</v>
      </c>
      <c r="D1340" s="392" t="s">
        <v>353</v>
      </c>
      <c r="E1340" s="480" t="s">
        <v>153</v>
      </c>
      <c r="F1340" s="404">
        <v>14974.07</v>
      </c>
      <c r="G1340" s="397" t="s">
        <v>2453</v>
      </c>
      <c r="H1340" s="389" t="s">
        <v>280</v>
      </c>
      <c r="I1340" s="394" t="s">
        <v>744</v>
      </c>
      <c r="J1340" s="455">
        <v>7837375000150</v>
      </c>
      <c r="K1340" s="390" t="str">
        <f t="shared" si="69"/>
        <v>XXX737500015XX</v>
      </c>
      <c r="L1340" s="391"/>
      <c r="M1340" s="398" t="s">
        <v>726</v>
      </c>
      <c r="N1340" s="399">
        <v>16042026</v>
      </c>
      <c r="O1340" s="399" t="s">
        <v>2099</v>
      </c>
      <c r="P1340" s="398" t="s">
        <v>574</v>
      </c>
    </row>
    <row r="1341" spans="1:16" s="401" customFormat="1" ht="36">
      <c r="A1341" s="429">
        <f t="shared" si="68"/>
        <v>1338</v>
      </c>
      <c r="B1341" s="387">
        <v>46135</v>
      </c>
      <c r="C1341" s="388">
        <v>46113</v>
      </c>
      <c r="D1341" s="392" t="s">
        <v>353</v>
      </c>
      <c r="E1341" s="480" t="s">
        <v>153</v>
      </c>
      <c r="F1341" s="404">
        <v>14756.45</v>
      </c>
      <c r="G1341" s="397" t="s">
        <v>2454</v>
      </c>
      <c r="H1341" s="389" t="s">
        <v>280</v>
      </c>
      <c r="I1341" s="394" t="s">
        <v>744</v>
      </c>
      <c r="J1341" s="455">
        <v>7837375000150</v>
      </c>
      <c r="K1341" s="390" t="str">
        <f t="shared" si="69"/>
        <v>XXX737500015XX</v>
      </c>
      <c r="L1341" s="391"/>
      <c r="M1341" s="398" t="s">
        <v>726</v>
      </c>
      <c r="N1341" s="399">
        <v>17042026</v>
      </c>
      <c r="O1341" s="399" t="s">
        <v>2100</v>
      </c>
      <c r="P1341" s="398" t="s">
        <v>574</v>
      </c>
    </row>
    <row r="1342" spans="1:16" s="401" customFormat="1" ht="36">
      <c r="A1342" s="429">
        <f t="shared" si="68"/>
        <v>1339</v>
      </c>
      <c r="B1342" s="387">
        <v>46135</v>
      </c>
      <c r="C1342" s="388">
        <v>46113</v>
      </c>
      <c r="D1342" s="392" t="s">
        <v>353</v>
      </c>
      <c r="E1342" s="480" t="s">
        <v>153</v>
      </c>
      <c r="F1342" s="404">
        <v>143.86000000000001</v>
      </c>
      <c r="G1342" s="397" t="s">
        <v>2455</v>
      </c>
      <c r="H1342" s="389" t="s">
        <v>280</v>
      </c>
      <c r="I1342" s="394" t="s">
        <v>744</v>
      </c>
      <c r="J1342" s="455">
        <v>7837375000150</v>
      </c>
      <c r="K1342" s="390" t="str">
        <f t="shared" si="69"/>
        <v>XXX737500015XX</v>
      </c>
      <c r="L1342" s="391"/>
      <c r="M1342" s="398" t="s">
        <v>726</v>
      </c>
      <c r="N1342" s="399">
        <v>16042026</v>
      </c>
      <c r="O1342" s="399" t="s">
        <v>2099</v>
      </c>
      <c r="P1342" s="398" t="s">
        <v>574</v>
      </c>
    </row>
    <row r="1343" spans="1:16" s="401" customFormat="1" ht="36">
      <c r="A1343" s="429">
        <f t="shared" si="68"/>
        <v>1340</v>
      </c>
      <c r="B1343" s="387">
        <v>46135</v>
      </c>
      <c r="C1343" s="388">
        <v>46113</v>
      </c>
      <c r="D1343" s="392" t="s">
        <v>353</v>
      </c>
      <c r="E1343" s="480" t="s">
        <v>153</v>
      </c>
      <c r="F1343" s="404">
        <v>210.64</v>
      </c>
      <c r="G1343" s="397" t="s">
        <v>2455</v>
      </c>
      <c r="H1343" s="389" t="s">
        <v>280</v>
      </c>
      <c r="I1343" s="394" t="s">
        <v>744</v>
      </c>
      <c r="J1343" s="455">
        <v>7837375000150</v>
      </c>
      <c r="K1343" s="390" t="str">
        <f t="shared" si="69"/>
        <v>XXX737500015XX</v>
      </c>
      <c r="L1343" s="391"/>
      <c r="M1343" s="398" t="s">
        <v>726</v>
      </c>
      <c r="N1343" s="399">
        <v>17042026</v>
      </c>
      <c r="O1343" s="399" t="s">
        <v>2100</v>
      </c>
      <c r="P1343" s="398" t="s">
        <v>574</v>
      </c>
    </row>
    <row r="1344" spans="1:16" s="401" customFormat="1" ht="48">
      <c r="A1344" s="429">
        <f t="shared" si="68"/>
        <v>1341</v>
      </c>
      <c r="B1344" s="387">
        <v>46136</v>
      </c>
      <c r="C1344" s="388">
        <v>46113</v>
      </c>
      <c r="D1344" s="392" t="s">
        <v>248</v>
      </c>
      <c r="E1344" s="398" t="s">
        <v>597</v>
      </c>
      <c r="F1344" s="404">
        <v>943.56</v>
      </c>
      <c r="G1344" s="397" t="s">
        <v>2282</v>
      </c>
      <c r="H1344" s="389" t="s">
        <v>278</v>
      </c>
      <c r="I1344" s="398" t="s">
        <v>664</v>
      </c>
      <c r="J1344" s="399" t="s">
        <v>665</v>
      </c>
      <c r="K1344" s="390" t="str">
        <f t="shared" si="69"/>
        <v>XXX070650001XX</v>
      </c>
      <c r="L1344" s="391"/>
      <c r="M1344" s="398" t="s">
        <v>708</v>
      </c>
      <c r="N1344" s="399">
        <v>5065</v>
      </c>
      <c r="O1344" s="399" t="s">
        <v>2099</v>
      </c>
      <c r="P1344" s="398" t="s">
        <v>574</v>
      </c>
    </row>
    <row r="1345" spans="1:16" s="401" customFormat="1" ht="24">
      <c r="A1345" s="429">
        <f t="shared" si="68"/>
        <v>1342</v>
      </c>
      <c r="B1345" s="387">
        <v>46136</v>
      </c>
      <c r="C1345" s="388">
        <v>46113</v>
      </c>
      <c r="D1345" s="392" t="s">
        <v>248</v>
      </c>
      <c r="E1345" s="398" t="s">
        <v>597</v>
      </c>
      <c r="F1345" s="491">
        <v>89.7</v>
      </c>
      <c r="G1345" s="397" t="s">
        <v>2456</v>
      </c>
      <c r="H1345" s="389" t="s">
        <v>278</v>
      </c>
      <c r="I1345" s="398" t="s">
        <v>2955</v>
      </c>
      <c r="J1345" s="399" t="s">
        <v>2956</v>
      </c>
      <c r="K1345" s="390" t="str">
        <f t="shared" si="69"/>
        <v>01.928.075/0016-86</v>
      </c>
      <c r="L1345" s="391"/>
      <c r="M1345" s="398" t="s">
        <v>710</v>
      </c>
      <c r="N1345" s="399">
        <v>341405</v>
      </c>
      <c r="O1345" s="399" t="s">
        <v>2104</v>
      </c>
      <c r="P1345" s="391" t="s">
        <v>2525</v>
      </c>
    </row>
    <row r="1346" spans="1:16" s="401" customFormat="1" ht="60">
      <c r="A1346" s="429">
        <f t="shared" si="68"/>
        <v>1343</v>
      </c>
      <c r="B1346" s="387">
        <v>46136</v>
      </c>
      <c r="C1346" s="388">
        <v>46113</v>
      </c>
      <c r="D1346" s="392" t="s">
        <v>248</v>
      </c>
      <c r="E1346" s="398" t="s">
        <v>597</v>
      </c>
      <c r="F1346" s="404">
        <v>62.08</v>
      </c>
      <c r="G1346" s="397" t="s">
        <v>2457</v>
      </c>
      <c r="H1346" s="389" t="s">
        <v>1418</v>
      </c>
      <c r="I1346" s="398" t="s">
        <v>1153</v>
      </c>
      <c r="J1346" s="399" t="s">
        <v>1154</v>
      </c>
      <c r="K1346" s="390" t="str">
        <f t="shared" si="69"/>
        <v>XXX144740001XX</v>
      </c>
      <c r="L1346" s="391"/>
      <c r="M1346" s="398" t="s">
        <v>708</v>
      </c>
      <c r="N1346" s="399">
        <v>656</v>
      </c>
      <c r="O1346" s="399" t="s">
        <v>2095</v>
      </c>
      <c r="P1346" s="398" t="s">
        <v>574</v>
      </c>
    </row>
    <row r="1347" spans="1:16" s="401" customFormat="1" ht="48">
      <c r="A1347" s="429">
        <f t="shared" si="68"/>
        <v>1344</v>
      </c>
      <c r="B1347" s="387">
        <v>46136</v>
      </c>
      <c r="C1347" s="388">
        <v>46113</v>
      </c>
      <c r="D1347" s="392" t="s">
        <v>248</v>
      </c>
      <c r="E1347" s="398" t="s">
        <v>610</v>
      </c>
      <c r="F1347" s="491">
        <v>6.25</v>
      </c>
      <c r="G1347" s="397" t="s">
        <v>2458</v>
      </c>
      <c r="H1347" s="389" t="s">
        <v>736</v>
      </c>
      <c r="I1347" s="398" t="s">
        <v>2974</v>
      </c>
      <c r="J1347" s="399" t="s">
        <v>773</v>
      </c>
      <c r="K1347" s="390" t="str">
        <f t="shared" si="69"/>
        <v>XXX000000000XX</v>
      </c>
      <c r="L1347" s="391"/>
      <c r="M1347" s="398" t="s">
        <v>710</v>
      </c>
      <c r="N1347" s="399">
        <v>75443</v>
      </c>
      <c r="O1347" s="399" t="s">
        <v>2104</v>
      </c>
      <c r="P1347" s="391" t="s">
        <v>2525</v>
      </c>
    </row>
    <row r="1348" spans="1:16" s="401" customFormat="1" ht="48">
      <c r="A1348" s="429">
        <f t="shared" si="68"/>
        <v>1345</v>
      </c>
      <c r="B1348" s="387">
        <v>46136</v>
      </c>
      <c r="C1348" s="388">
        <v>46113</v>
      </c>
      <c r="D1348" s="392" t="s">
        <v>166</v>
      </c>
      <c r="E1348" s="398" t="s">
        <v>581</v>
      </c>
      <c r="F1348" s="404">
        <v>-863.46</v>
      </c>
      <c r="G1348" s="397" t="s">
        <v>1404</v>
      </c>
      <c r="H1348" s="389" t="s">
        <v>166</v>
      </c>
      <c r="I1348" s="398" t="s">
        <v>1165</v>
      </c>
      <c r="J1348" s="399" t="s">
        <v>1166</v>
      </c>
      <c r="K1348" s="399" t="s">
        <v>280</v>
      </c>
      <c r="L1348" s="391"/>
      <c r="M1348" s="398" t="s">
        <v>708</v>
      </c>
      <c r="N1348" s="399">
        <v>42026</v>
      </c>
      <c r="O1348" s="399" t="s">
        <v>2106</v>
      </c>
      <c r="P1348" s="398" t="s">
        <v>574</v>
      </c>
    </row>
    <row r="1349" spans="1:16" s="401" customFormat="1" ht="48">
      <c r="A1349" s="429">
        <f t="shared" si="68"/>
        <v>1346</v>
      </c>
      <c r="B1349" s="387">
        <v>46136</v>
      </c>
      <c r="C1349" s="388">
        <v>46113</v>
      </c>
      <c r="D1349" s="392" t="s">
        <v>248</v>
      </c>
      <c r="E1349" s="482" t="s">
        <v>61</v>
      </c>
      <c r="F1349" s="404">
        <v>3783.51</v>
      </c>
      <c r="G1349" s="397" t="s">
        <v>2459</v>
      </c>
      <c r="H1349" s="389" t="s">
        <v>736</v>
      </c>
      <c r="I1349" s="398" t="s">
        <v>2235</v>
      </c>
      <c r="J1349" s="399" t="s">
        <v>636</v>
      </c>
      <c r="K1349" s="390" t="str">
        <f t="shared" si="69"/>
        <v>XXX153830001XX</v>
      </c>
      <c r="L1349" s="391"/>
      <c r="M1349" s="398" t="s">
        <v>704</v>
      </c>
      <c r="N1349" s="399">
        <v>598466</v>
      </c>
      <c r="O1349" s="399" t="s">
        <v>2102</v>
      </c>
      <c r="P1349" s="398" t="s">
        <v>574</v>
      </c>
    </row>
    <row r="1350" spans="1:16" s="401" customFormat="1" ht="48">
      <c r="A1350" s="429">
        <f t="shared" si="68"/>
        <v>1347</v>
      </c>
      <c r="B1350" s="387">
        <v>46136</v>
      </c>
      <c r="C1350" s="388">
        <v>46113</v>
      </c>
      <c r="D1350" s="392" t="s">
        <v>248</v>
      </c>
      <c r="E1350" s="398" t="s">
        <v>607</v>
      </c>
      <c r="F1350" s="491">
        <v>42.93</v>
      </c>
      <c r="G1350" s="397" t="s">
        <v>2460</v>
      </c>
      <c r="H1350" s="389" t="s">
        <v>736</v>
      </c>
      <c r="I1350" s="398" t="s">
        <v>2953</v>
      </c>
      <c r="J1350" s="399" t="s">
        <v>2954</v>
      </c>
      <c r="K1350" s="390" t="str">
        <f t="shared" si="69"/>
        <v>26.068.130/0003-11</v>
      </c>
      <c r="L1350" s="403"/>
      <c r="M1350" s="398" t="s">
        <v>710</v>
      </c>
      <c r="N1350" s="399">
        <v>104252</v>
      </c>
      <c r="O1350" s="399" t="s">
        <v>2104</v>
      </c>
      <c r="P1350" s="391" t="s">
        <v>2525</v>
      </c>
    </row>
    <row r="1351" spans="1:16" s="401" customFormat="1" ht="36">
      <c r="A1351" s="429">
        <f t="shared" si="68"/>
        <v>1348</v>
      </c>
      <c r="B1351" s="387">
        <v>46139</v>
      </c>
      <c r="C1351" s="388">
        <v>46113</v>
      </c>
      <c r="D1351" s="392" t="s">
        <v>248</v>
      </c>
      <c r="E1351" s="398" t="s">
        <v>602</v>
      </c>
      <c r="F1351" s="404">
        <v>2580.87</v>
      </c>
      <c r="G1351" s="397" t="s">
        <v>2461</v>
      </c>
      <c r="H1351" s="389" t="s">
        <v>278</v>
      </c>
      <c r="I1351" s="398" t="s">
        <v>694</v>
      </c>
      <c r="J1351" s="399" t="s">
        <v>695</v>
      </c>
      <c r="K1351" s="390" t="str">
        <f t="shared" si="69"/>
        <v>XXX713070001XX</v>
      </c>
      <c r="L1351" s="391"/>
      <c r="M1351" s="398" t="s">
        <v>704</v>
      </c>
      <c r="N1351" s="399">
        <v>238</v>
      </c>
      <c r="O1351" s="399" t="s">
        <v>2089</v>
      </c>
      <c r="P1351" s="398" t="s">
        <v>574</v>
      </c>
    </row>
    <row r="1352" spans="1:16" s="401" customFormat="1" ht="36">
      <c r="A1352" s="429">
        <f t="shared" si="68"/>
        <v>1349</v>
      </c>
      <c r="B1352" s="387">
        <v>46139</v>
      </c>
      <c r="C1352" s="388">
        <v>46113</v>
      </c>
      <c r="D1352" s="392" t="s">
        <v>248</v>
      </c>
      <c r="E1352" s="398" t="s">
        <v>590</v>
      </c>
      <c r="F1352" s="404">
        <v>774.08</v>
      </c>
      <c r="G1352" s="397" t="s">
        <v>2304</v>
      </c>
      <c r="H1352" s="389" t="s">
        <v>736</v>
      </c>
      <c r="I1352" s="398" t="s">
        <v>1425</v>
      </c>
      <c r="J1352" s="399" t="s">
        <v>1426</v>
      </c>
      <c r="K1352" s="390" t="str">
        <f t="shared" si="69"/>
        <v>XXX764860001XX</v>
      </c>
      <c r="L1352" s="391"/>
      <c r="M1352" s="398" t="s">
        <v>704</v>
      </c>
      <c r="N1352" s="399">
        <v>2381341</v>
      </c>
      <c r="O1352" s="399" t="s">
        <v>2104</v>
      </c>
      <c r="P1352" s="398" t="s">
        <v>868</v>
      </c>
    </row>
    <row r="1353" spans="1:16" s="401" customFormat="1" ht="48">
      <c r="A1353" s="429">
        <f t="shared" si="68"/>
        <v>1350</v>
      </c>
      <c r="B1353" s="387">
        <v>46139</v>
      </c>
      <c r="C1353" s="388">
        <v>46113</v>
      </c>
      <c r="D1353" s="392" t="s">
        <v>248</v>
      </c>
      <c r="E1353" s="398" t="s">
        <v>597</v>
      </c>
      <c r="F1353" s="404">
        <v>778.7</v>
      </c>
      <c r="G1353" s="397" t="s">
        <v>2462</v>
      </c>
      <c r="H1353" s="389" t="s">
        <v>278</v>
      </c>
      <c r="I1353" s="398" t="s">
        <v>1472</v>
      </c>
      <c r="J1353" s="399" t="s">
        <v>1473</v>
      </c>
      <c r="K1353" s="390" t="str">
        <f t="shared" si="69"/>
        <v>XXX735210001XX</v>
      </c>
      <c r="L1353" s="391"/>
      <c r="M1353" s="398" t="s">
        <v>706</v>
      </c>
      <c r="N1353" s="399">
        <v>233882</v>
      </c>
      <c r="O1353" s="399" t="s">
        <v>2105</v>
      </c>
      <c r="P1353" s="398" t="s">
        <v>574</v>
      </c>
    </row>
    <row r="1354" spans="1:16" s="401" customFormat="1" ht="48">
      <c r="A1354" s="429">
        <f t="shared" si="68"/>
        <v>1351</v>
      </c>
      <c r="B1354" s="387">
        <v>46139</v>
      </c>
      <c r="C1354" s="388">
        <v>46113</v>
      </c>
      <c r="D1354" s="392" t="s">
        <v>248</v>
      </c>
      <c r="E1354" s="398" t="s">
        <v>610</v>
      </c>
      <c r="F1354" s="491">
        <v>25</v>
      </c>
      <c r="G1354" s="486" t="s">
        <v>2458</v>
      </c>
      <c r="H1354" s="389" t="s">
        <v>736</v>
      </c>
      <c r="I1354" s="398" t="s">
        <v>2974</v>
      </c>
      <c r="J1354" s="399" t="s">
        <v>773</v>
      </c>
      <c r="K1354" s="390" t="str">
        <f t="shared" si="69"/>
        <v>XXX000000000XX</v>
      </c>
      <c r="L1354" s="391"/>
      <c r="M1354" s="398" t="s">
        <v>710</v>
      </c>
      <c r="N1354" s="399">
        <v>75479</v>
      </c>
      <c r="O1354" s="399" t="s">
        <v>2105</v>
      </c>
      <c r="P1354" s="391" t="s">
        <v>2525</v>
      </c>
    </row>
    <row r="1355" spans="1:16" s="401" customFormat="1" ht="48">
      <c r="A1355" s="429">
        <f t="shared" si="68"/>
        <v>1352</v>
      </c>
      <c r="B1355" s="387">
        <v>46139</v>
      </c>
      <c r="C1355" s="388">
        <v>46082</v>
      </c>
      <c r="D1355" s="392" t="s">
        <v>248</v>
      </c>
      <c r="E1355" s="398" t="s">
        <v>590</v>
      </c>
      <c r="F1355" s="404">
        <v>113.34</v>
      </c>
      <c r="G1355" s="397" t="s">
        <v>2463</v>
      </c>
      <c r="H1355" s="389" t="s">
        <v>736</v>
      </c>
      <c r="I1355" s="398" t="s">
        <v>670</v>
      </c>
      <c r="J1355" s="399" t="s">
        <v>671</v>
      </c>
      <c r="K1355" s="390" t="str">
        <f t="shared" si="69"/>
        <v>XXX902520003XX</v>
      </c>
      <c r="L1355" s="391"/>
      <c r="M1355" s="398" t="s">
        <v>704</v>
      </c>
      <c r="N1355" s="399">
        <v>2396483</v>
      </c>
      <c r="O1355" s="399" t="s">
        <v>1542</v>
      </c>
      <c r="P1355" s="398" t="s">
        <v>868</v>
      </c>
    </row>
    <row r="1356" spans="1:16" s="401" customFormat="1" ht="48">
      <c r="A1356" s="429">
        <f t="shared" si="68"/>
        <v>1353</v>
      </c>
      <c r="B1356" s="387">
        <v>46139</v>
      </c>
      <c r="C1356" s="388">
        <v>46113</v>
      </c>
      <c r="D1356" s="389" t="s">
        <v>132</v>
      </c>
      <c r="E1356" s="483" t="s">
        <v>213</v>
      </c>
      <c r="F1356" s="404">
        <v>590.91</v>
      </c>
      <c r="G1356" s="397" t="s">
        <v>2464</v>
      </c>
      <c r="H1356" s="389" t="s">
        <v>278</v>
      </c>
      <c r="I1356" s="398" t="s">
        <v>1472</v>
      </c>
      <c r="J1356" s="399" t="s">
        <v>1473</v>
      </c>
      <c r="K1356" s="390" t="str">
        <f t="shared" si="69"/>
        <v>XXX735210001XX</v>
      </c>
      <c r="L1356" s="391"/>
      <c r="M1356" s="398" t="s">
        <v>1206</v>
      </c>
      <c r="N1356" s="399">
        <v>296771</v>
      </c>
      <c r="O1356" s="399" t="s">
        <v>2105</v>
      </c>
      <c r="P1356" s="398" t="s">
        <v>574</v>
      </c>
    </row>
    <row r="1357" spans="1:16" s="401" customFormat="1" ht="48">
      <c r="A1357" s="429">
        <f t="shared" si="68"/>
        <v>1354</v>
      </c>
      <c r="B1357" s="387">
        <v>46139</v>
      </c>
      <c r="C1357" s="388">
        <v>46113</v>
      </c>
      <c r="D1357" s="392" t="s">
        <v>248</v>
      </c>
      <c r="E1357" s="398" t="s">
        <v>597</v>
      </c>
      <c r="F1357" s="404">
        <v>660.54</v>
      </c>
      <c r="G1357" s="397" t="s">
        <v>2465</v>
      </c>
      <c r="H1357" s="389" t="s">
        <v>278</v>
      </c>
      <c r="I1357" s="398" t="s">
        <v>1472</v>
      </c>
      <c r="J1357" s="399" t="s">
        <v>1473</v>
      </c>
      <c r="K1357" s="390" t="str">
        <f t="shared" si="69"/>
        <v>XXX735210001XX</v>
      </c>
      <c r="L1357" s="391"/>
      <c r="M1357" s="398" t="s">
        <v>706</v>
      </c>
      <c r="N1357" s="399">
        <v>10764036</v>
      </c>
      <c r="O1357" s="399" t="s">
        <v>2105</v>
      </c>
      <c r="P1357" s="398" t="s">
        <v>574</v>
      </c>
    </row>
    <row r="1358" spans="1:16" s="401" customFormat="1" ht="36">
      <c r="A1358" s="429">
        <f t="shared" si="68"/>
        <v>1355</v>
      </c>
      <c r="B1358" s="387">
        <v>46139</v>
      </c>
      <c r="C1358" s="388">
        <v>46113</v>
      </c>
      <c r="D1358" s="392" t="s">
        <v>166</v>
      </c>
      <c r="E1358" s="398" t="s">
        <v>586</v>
      </c>
      <c r="F1358" s="491">
        <v>51134.16</v>
      </c>
      <c r="G1358" s="397" t="s">
        <v>2466</v>
      </c>
      <c r="H1358" s="389" t="s">
        <v>166</v>
      </c>
      <c r="I1358" s="398" t="s">
        <v>620</v>
      </c>
      <c r="J1358" s="399" t="s">
        <v>621</v>
      </c>
      <c r="K1358" s="390" t="str">
        <f t="shared" si="69"/>
        <v>XXX408760001XX</v>
      </c>
      <c r="L1358" s="391"/>
      <c r="M1358" s="398" t="s">
        <v>706</v>
      </c>
      <c r="N1358" s="399">
        <v>2057887438</v>
      </c>
      <c r="O1358" s="399" t="s">
        <v>2105</v>
      </c>
      <c r="P1358" s="398" t="s">
        <v>572</v>
      </c>
    </row>
    <row r="1359" spans="1:16" s="401" customFormat="1" ht="36">
      <c r="A1359" s="429">
        <f t="shared" si="68"/>
        <v>1356</v>
      </c>
      <c r="B1359" s="387">
        <v>46139</v>
      </c>
      <c r="C1359" s="388">
        <v>46113</v>
      </c>
      <c r="D1359" s="392" t="s">
        <v>166</v>
      </c>
      <c r="E1359" s="398" t="s">
        <v>586</v>
      </c>
      <c r="F1359" s="491">
        <v>80240</v>
      </c>
      <c r="G1359" s="397" t="s">
        <v>2467</v>
      </c>
      <c r="H1359" s="389" t="s">
        <v>166</v>
      </c>
      <c r="I1359" s="398" t="s">
        <v>620</v>
      </c>
      <c r="J1359" s="399" t="s">
        <v>621</v>
      </c>
      <c r="K1359" s="390" t="str">
        <f t="shared" si="69"/>
        <v>XXX408760001XX</v>
      </c>
      <c r="L1359" s="391"/>
      <c r="M1359" s="398" t="s">
        <v>706</v>
      </c>
      <c r="N1359" s="399">
        <v>2057887439</v>
      </c>
      <c r="O1359" s="399" t="s">
        <v>2105</v>
      </c>
      <c r="P1359" s="398" t="s">
        <v>572</v>
      </c>
    </row>
    <row r="1360" spans="1:16" s="401" customFormat="1" ht="36">
      <c r="A1360" s="429">
        <f t="shared" si="68"/>
        <v>1357</v>
      </c>
      <c r="B1360" s="387">
        <v>46139</v>
      </c>
      <c r="C1360" s="388">
        <v>46113</v>
      </c>
      <c r="D1360" s="392" t="s">
        <v>166</v>
      </c>
      <c r="E1360" s="483" t="s">
        <v>69</v>
      </c>
      <c r="F1360" s="491">
        <v>3450</v>
      </c>
      <c r="G1360" s="397" t="s">
        <v>2468</v>
      </c>
      <c r="H1360" s="389" t="s">
        <v>166</v>
      </c>
      <c r="I1360" s="398" t="s">
        <v>620</v>
      </c>
      <c r="J1360" s="399" t="s">
        <v>621</v>
      </c>
      <c r="K1360" s="390" t="str">
        <f t="shared" ref="K1360:K1384" si="70">IF(J1360="","",IF(LEN(J1360)&gt;14,IF(ISBLANK(J1360),"",J1360),REPLACE(REPLACE(J1360,1,3,"XXX"),13,2,"XX")))</f>
        <v>XXX408760001XX</v>
      </c>
      <c r="L1360" s="391"/>
      <c r="M1360" s="398" t="s">
        <v>706</v>
      </c>
      <c r="N1360" s="399">
        <v>2057887440</v>
      </c>
      <c r="O1360" s="399" t="s">
        <v>2105</v>
      </c>
      <c r="P1360" s="398" t="s">
        <v>572</v>
      </c>
    </row>
    <row r="1361" spans="1:16" s="401" customFormat="1" ht="48">
      <c r="A1361" s="429">
        <f t="shared" si="68"/>
        <v>1358</v>
      </c>
      <c r="B1361" s="387">
        <v>46139</v>
      </c>
      <c r="C1361" s="388">
        <v>46113</v>
      </c>
      <c r="D1361" s="392" t="s">
        <v>166</v>
      </c>
      <c r="E1361" s="398" t="s">
        <v>584</v>
      </c>
      <c r="F1361" s="491">
        <v>1271.97</v>
      </c>
      <c r="G1361" s="397" t="s">
        <v>2469</v>
      </c>
      <c r="H1361" s="389" t="s">
        <v>166</v>
      </c>
      <c r="I1361" s="398" t="s">
        <v>622</v>
      </c>
      <c r="J1361" s="399" t="s">
        <v>623</v>
      </c>
      <c r="K1361" s="390" t="str">
        <f t="shared" si="70"/>
        <v>XXX267150001XX</v>
      </c>
      <c r="L1361" s="391"/>
      <c r="M1361" s="398" t="s">
        <v>706</v>
      </c>
      <c r="N1361" s="399">
        <v>2057887442</v>
      </c>
      <c r="O1361" s="399" t="s">
        <v>2105</v>
      </c>
      <c r="P1361" s="398" t="s">
        <v>572</v>
      </c>
    </row>
    <row r="1362" spans="1:16" s="401" customFormat="1" ht="48">
      <c r="A1362" s="429">
        <f t="shared" si="68"/>
        <v>1359</v>
      </c>
      <c r="B1362" s="387">
        <v>46139</v>
      </c>
      <c r="C1362" s="388">
        <v>46113</v>
      </c>
      <c r="D1362" s="392" t="s">
        <v>166</v>
      </c>
      <c r="E1362" s="398" t="s">
        <v>584</v>
      </c>
      <c r="F1362" s="491">
        <v>4426.5600000000004</v>
      </c>
      <c r="G1362" s="397" t="s">
        <v>2470</v>
      </c>
      <c r="H1362" s="389" t="s">
        <v>166</v>
      </c>
      <c r="I1362" s="398" t="s">
        <v>618</v>
      </c>
      <c r="J1362" s="399" t="s">
        <v>619</v>
      </c>
      <c r="K1362" s="390" t="str">
        <f t="shared" si="70"/>
        <v>XXX985050001XX</v>
      </c>
      <c r="L1362" s="391"/>
      <c r="M1362" s="398" t="s">
        <v>706</v>
      </c>
      <c r="N1362" s="399">
        <v>2057887443</v>
      </c>
      <c r="O1362" s="399" t="s">
        <v>2105</v>
      </c>
      <c r="P1362" s="398" t="s">
        <v>572</v>
      </c>
    </row>
    <row r="1363" spans="1:16" s="401" customFormat="1" ht="72">
      <c r="A1363" s="429">
        <f t="shared" si="68"/>
        <v>1360</v>
      </c>
      <c r="B1363" s="387">
        <v>46139</v>
      </c>
      <c r="C1363" s="388">
        <v>46113</v>
      </c>
      <c r="D1363" s="392" t="s">
        <v>248</v>
      </c>
      <c r="E1363" s="398" t="s">
        <v>597</v>
      </c>
      <c r="F1363" s="404">
        <v>-660.54</v>
      </c>
      <c r="G1363" s="397" t="s">
        <v>2471</v>
      </c>
      <c r="H1363" s="389" t="s">
        <v>278</v>
      </c>
      <c r="I1363" s="398" t="s">
        <v>1472</v>
      </c>
      <c r="J1363" s="399" t="s">
        <v>1473</v>
      </c>
      <c r="K1363" s="390" t="str">
        <f t="shared" si="70"/>
        <v>XXX735210001XX</v>
      </c>
      <c r="L1363" s="391"/>
      <c r="M1363" s="398" t="s">
        <v>711</v>
      </c>
      <c r="N1363" s="399">
        <v>10764036</v>
      </c>
      <c r="O1363" s="399" t="s">
        <v>2105</v>
      </c>
      <c r="P1363" s="398" t="s">
        <v>574</v>
      </c>
    </row>
    <row r="1364" spans="1:16" s="401" customFormat="1" ht="51.75" customHeight="1">
      <c r="A1364" s="429">
        <f t="shared" si="68"/>
        <v>1361</v>
      </c>
      <c r="B1364" s="387">
        <v>46139</v>
      </c>
      <c r="C1364" s="388">
        <v>46082</v>
      </c>
      <c r="D1364" s="392" t="s">
        <v>248</v>
      </c>
      <c r="E1364" s="398" t="s">
        <v>605</v>
      </c>
      <c r="F1364" s="491">
        <v>155.94</v>
      </c>
      <c r="G1364" s="397" t="s">
        <v>2472</v>
      </c>
      <c r="H1364" s="389" t="s">
        <v>278</v>
      </c>
      <c r="I1364" s="398" t="s">
        <v>637</v>
      </c>
      <c r="J1364" s="399" t="s">
        <v>638</v>
      </c>
      <c r="K1364" s="390" t="str">
        <f t="shared" si="70"/>
        <v>XXX128340001XX</v>
      </c>
      <c r="L1364" s="391"/>
      <c r="M1364" s="398" t="s">
        <v>715</v>
      </c>
      <c r="N1364" s="399">
        <v>74310326</v>
      </c>
      <c r="O1364" s="399" t="s">
        <v>1521</v>
      </c>
      <c r="P1364" s="398" t="s">
        <v>573</v>
      </c>
    </row>
    <row r="1365" spans="1:16" s="401" customFormat="1" ht="53.25" customHeight="1">
      <c r="A1365" s="429">
        <f t="shared" si="68"/>
        <v>1362</v>
      </c>
      <c r="B1365" s="387">
        <v>46139</v>
      </c>
      <c r="C1365" s="388">
        <v>46082</v>
      </c>
      <c r="D1365" s="392" t="s">
        <v>248</v>
      </c>
      <c r="E1365" s="398" t="s">
        <v>605</v>
      </c>
      <c r="F1365" s="491">
        <v>19.54</v>
      </c>
      <c r="G1365" s="397" t="s">
        <v>2473</v>
      </c>
      <c r="H1365" s="389" t="s">
        <v>278</v>
      </c>
      <c r="I1365" s="398" t="s">
        <v>637</v>
      </c>
      <c r="J1365" s="399" t="s">
        <v>638</v>
      </c>
      <c r="K1365" s="390" t="str">
        <f t="shared" si="70"/>
        <v>XXX128340001XX</v>
      </c>
      <c r="L1365" s="391"/>
      <c r="M1365" s="398" t="s">
        <v>716</v>
      </c>
      <c r="N1365" s="399">
        <v>74310326</v>
      </c>
      <c r="O1365" s="399" t="s">
        <v>1521</v>
      </c>
      <c r="P1365" s="398" t="s">
        <v>573</v>
      </c>
    </row>
    <row r="1366" spans="1:16" ht="36">
      <c r="A1366" s="429">
        <f t="shared" si="68"/>
        <v>1363</v>
      </c>
      <c r="B1366" s="387">
        <v>46139</v>
      </c>
      <c r="C1366" s="388">
        <v>46113</v>
      </c>
      <c r="D1366" s="392" t="s">
        <v>248</v>
      </c>
      <c r="E1366" s="398" t="s">
        <v>742</v>
      </c>
      <c r="F1366" s="404">
        <v>1459.08</v>
      </c>
      <c r="G1366" s="397" t="s">
        <v>2474</v>
      </c>
      <c r="H1366" s="389" t="s">
        <v>278</v>
      </c>
      <c r="I1366" s="398" t="s">
        <v>745</v>
      </c>
      <c r="J1366" s="399" t="s">
        <v>746</v>
      </c>
      <c r="K1366" s="394" t="str">
        <f t="shared" si="70"/>
        <v>XXX565960001XX</v>
      </c>
      <c r="L1366" s="391"/>
      <c r="M1366" s="398" t="s">
        <v>708</v>
      </c>
      <c r="N1366" s="399">
        <v>721524</v>
      </c>
      <c r="O1366" s="399" t="s">
        <v>2105</v>
      </c>
      <c r="P1366" s="398" t="s">
        <v>574</v>
      </c>
    </row>
    <row r="1367" spans="1:16" ht="36">
      <c r="A1367" s="429">
        <f t="shared" si="68"/>
        <v>1364</v>
      </c>
      <c r="B1367" s="387">
        <v>46139</v>
      </c>
      <c r="C1367" s="388">
        <v>46113</v>
      </c>
      <c r="D1367" s="392" t="s">
        <v>248</v>
      </c>
      <c r="E1367" s="398" t="s">
        <v>742</v>
      </c>
      <c r="F1367" s="404">
        <v>1459.08</v>
      </c>
      <c r="G1367" s="397" t="s">
        <v>2475</v>
      </c>
      <c r="H1367" s="389" t="s">
        <v>278</v>
      </c>
      <c r="I1367" s="398" t="s">
        <v>745</v>
      </c>
      <c r="J1367" s="399" t="s">
        <v>746</v>
      </c>
      <c r="K1367" s="394" t="str">
        <f t="shared" si="70"/>
        <v>XXX565960001XX</v>
      </c>
      <c r="L1367" s="391"/>
      <c r="M1367" s="398" t="s">
        <v>708</v>
      </c>
      <c r="N1367" s="399">
        <v>721525</v>
      </c>
      <c r="O1367" s="399" t="s">
        <v>2105</v>
      </c>
      <c r="P1367" s="398" t="s">
        <v>574</v>
      </c>
    </row>
    <row r="1368" spans="1:16" s="401" customFormat="1" ht="36">
      <c r="A1368" s="429">
        <f t="shared" si="68"/>
        <v>1365</v>
      </c>
      <c r="B1368" s="387">
        <v>46140</v>
      </c>
      <c r="C1368" s="388">
        <v>46113</v>
      </c>
      <c r="D1368" s="392" t="s">
        <v>353</v>
      </c>
      <c r="E1368" s="480" t="s">
        <v>334</v>
      </c>
      <c r="F1368" s="404">
        <v>1500000</v>
      </c>
      <c r="G1368" s="397" t="s">
        <v>2524</v>
      </c>
      <c r="H1368" s="389" t="s">
        <v>280</v>
      </c>
      <c r="I1368" s="394" t="s">
        <v>744</v>
      </c>
      <c r="J1368" s="455">
        <v>7837375000150</v>
      </c>
      <c r="K1368" s="390" t="str">
        <f t="shared" si="70"/>
        <v>XXX737500015XX</v>
      </c>
      <c r="L1368" s="391"/>
      <c r="M1368" s="398" t="s">
        <v>719</v>
      </c>
      <c r="N1368" s="399">
        <v>42026</v>
      </c>
      <c r="O1368" s="399" t="s">
        <v>2117</v>
      </c>
      <c r="P1368" s="398" t="s">
        <v>868</v>
      </c>
    </row>
    <row r="1369" spans="1:16" s="401" customFormat="1" ht="36">
      <c r="A1369" s="429">
        <f t="shared" si="68"/>
        <v>1366</v>
      </c>
      <c r="B1369" s="387">
        <v>46140</v>
      </c>
      <c r="C1369" s="388">
        <v>46113</v>
      </c>
      <c r="D1369" s="392" t="s">
        <v>248</v>
      </c>
      <c r="E1369" s="398" t="s">
        <v>591</v>
      </c>
      <c r="F1369" s="404">
        <v>625</v>
      </c>
      <c r="G1369" s="397" t="s">
        <v>2476</v>
      </c>
      <c r="H1369" s="389" t="s">
        <v>736</v>
      </c>
      <c r="I1369" s="398" t="s">
        <v>1495</v>
      </c>
      <c r="J1369" s="399" t="s">
        <v>1496</v>
      </c>
      <c r="K1369" s="390" t="str">
        <f t="shared" si="70"/>
        <v>XXX864720001XX</v>
      </c>
      <c r="L1369" s="391"/>
      <c r="M1369" s="398" t="s">
        <v>706</v>
      </c>
      <c r="N1369" s="399">
        <v>2057887448</v>
      </c>
      <c r="O1369" s="399" t="s">
        <v>2106</v>
      </c>
      <c r="P1369" s="398" t="s">
        <v>574</v>
      </c>
    </row>
    <row r="1370" spans="1:16" s="401" customFormat="1" ht="36">
      <c r="A1370" s="429">
        <f t="shared" si="68"/>
        <v>1367</v>
      </c>
      <c r="B1370" s="387">
        <v>46140</v>
      </c>
      <c r="C1370" s="388">
        <v>46113</v>
      </c>
      <c r="D1370" s="392" t="s">
        <v>248</v>
      </c>
      <c r="E1370" s="398" t="s">
        <v>591</v>
      </c>
      <c r="F1370" s="404">
        <v>-12.56</v>
      </c>
      <c r="G1370" s="397" t="s">
        <v>2477</v>
      </c>
      <c r="H1370" s="389" t="s">
        <v>736</v>
      </c>
      <c r="I1370" s="398" t="s">
        <v>1495</v>
      </c>
      <c r="J1370" s="399" t="s">
        <v>1496</v>
      </c>
      <c r="K1370" s="390" t="str">
        <f t="shared" si="70"/>
        <v>XXX864720001XX</v>
      </c>
      <c r="L1370" s="391"/>
      <c r="M1370" s="398" t="s">
        <v>1207</v>
      </c>
      <c r="N1370" s="399">
        <v>2057887448</v>
      </c>
      <c r="O1370" s="399" t="s">
        <v>2107</v>
      </c>
      <c r="P1370" s="398" t="s">
        <v>574</v>
      </c>
    </row>
    <row r="1371" spans="1:16" s="401" customFormat="1" ht="60">
      <c r="A1371" s="429">
        <f t="shared" si="68"/>
        <v>1368</v>
      </c>
      <c r="B1371" s="387">
        <v>46141</v>
      </c>
      <c r="C1371" s="388">
        <v>46113</v>
      </c>
      <c r="D1371" s="392" t="s">
        <v>248</v>
      </c>
      <c r="E1371" s="398" t="s">
        <v>597</v>
      </c>
      <c r="F1371" s="404">
        <v>1613.73</v>
      </c>
      <c r="G1371" s="397" t="s">
        <v>2478</v>
      </c>
      <c r="H1371" s="389" t="s">
        <v>278</v>
      </c>
      <c r="I1371" s="398" t="s">
        <v>1419</v>
      </c>
      <c r="J1371" s="399" t="s">
        <v>1420</v>
      </c>
      <c r="K1371" s="390" t="str">
        <f t="shared" si="70"/>
        <v>XXX029410001XX</v>
      </c>
      <c r="L1371" s="391"/>
      <c r="M1371" s="398" t="s">
        <v>704</v>
      </c>
      <c r="N1371" s="399">
        <v>224255</v>
      </c>
      <c r="O1371" s="399" t="s">
        <v>2089</v>
      </c>
      <c r="P1371" s="398" t="s">
        <v>574</v>
      </c>
    </row>
    <row r="1372" spans="1:16" s="401" customFormat="1" ht="36">
      <c r="A1372" s="429">
        <f t="shared" si="68"/>
        <v>1369</v>
      </c>
      <c r="B1372" s="387">
        <v>46141</v>
      </c>
      <c r="C1372" s="388">
        <v>46113</v>
      </c>
      <c r="D1372" s="392" t="s">
        <v>248</v>
      </c>
      <c r="E1372" s="398" t="s">
        <v>595</v>
      </c>
      <c r="F1372" s="404">
        <v>3127.25</v>
      </c>
      <c r="G1372" s="397" t="s">
        <v>2479</v>
      </c>
      <c r="H1372" s="389" t="s">
        <v>738</v>
      </c>
      <c r="I1372" s="398" t="s">
        <v>1151</v>
      </c>
      <c r="J1372" s="399" t="s">
        <v>1152</v>
      </c>
      <c r="K1372" s="390" t="str">
        <f t="shared" si="70"/>
        <v>XXX397370005XX</v>
      </c>
      <c r="L1372" s="391"/>
      <c r="M1372" s="398" t="s">
        <v>704</v>
      </c>
      <c r="N1372" s="399">
        <v>28825</v>
      </c>
      <c r="O1372" s="399" t="s">
        <v>2097</v>
      </c>
      <c r="P1372" s="398" t="s">
        <v>574</v>
      </c>
    </row>
    <row r="1373" spans="1:16" s="401" customFormat="1" ht="24">
      <c r="A1373" s="429">
        <f t="shared" ref="A1373:A1418" si="71">IF(B1373="","",ROW()-ROW($A$3))</f>
        <v>1370</v>
      </c>
      <c r="B1373" s="387">
        <v>46141</v>
      </c>
      <c r="C1373" s="388">
        <v>46113</v>
      </c>
      <c r="D1373" s="392" t="s">
        <v>166</v>
      </c>
      <c r="E1373" s="398" t="s">
        <v>583</v>
      </c>
      <c r="F1373" s="491">
        <v>2118.23</v>
      </c>
      <c r="G1373" s="397" t="s">
        <v>2480</v>
      </c>
      <c r="H1373" s="389" t="s">
        <v>166</v>
      </c>
      <c r="I1373" s="398" t="s">
        <v>2236</v>
      </c>
      <c r="J1373" s="399" t="s">
        <v>2237</v>
      </c>
      <c r="K1373" s="390" t="str">
        <f t="shared" si="70"/>
        <v>XXX77256607 XX</v>
      </c>
      <c r="L1373" s="391"/>
      <c r="M1373" s="398" t="s">
        <v>705</v>
      </c>
      <c r="N1373" s="399">
        <v>733</v>
      </c>
      <c r="O1373" s="399" t="s">
        <v>2089</v>
      </c>
      <c r="P1373" s="398" t="s">
        <v>573</v>
      </c>
    </row>
    <row r="1374" spans="1:16" s="401" customFormat="1" ht="24">
      <c r="A1374" s="429">
        <f t="shared" si="71"/>
        <v>1371</v>
      </c>
      <c r="B1374" s="387">
        <v>46141</v>
      </c>
      <c r="C1374" s="388">
        <v>46113</v>
      </c>
      <c r="D1374" s="392" t="s">
        <v>166</v>
      </c>
      <c r="E1374" s="398" t="s">
        <v>583</v>
      </c>
      <c r="F1374" s="491">
        <v>4182.2</v>
      </c>
      <c r="G1374" s="397" t="s">
        <v>2481</v>
      </c>
      <c r="H1374" s="389" t="s">
        <v>166</v>
      </c>
      <c r="I1374" s="398" t="s">
        <v>2238</v>
      </c>
      <c r="J1374" s="399" t="s">
        <v>2239</v>
      </c>
      <c r="K1374" s="390" t="str">
        <f t="shared" si="70"/>
        <v>XXX40162673 XX</v>
      </c>
      <c r="L1374" s="391"/>
      <c r="M1374" s="398" t="s">
        <v>705</v>
      </c>
      <c r="N1374" s="399">
        <v>733</v>
      </c>
      <c r="O1374" s="399" t="s">
        <v>2089</v>
      </c>
      <c r="P1374" s="398" t="s">
        <v>573</v>
      </c>
    </row>
    <row r="1375" spans="1:16" s="401" customFormat="1" ht="36">
      <c r="A1375" s="429">
        <f t="shared" si="71"/>
        <v>1372</v>
      </c>
      <c r="B1375" s="387">
        <v>46142</v>
      </c>
      <c r="C1375" s="388">
        <v>46113</v>
      </c>
      <c r="D1375" s="392" t="s">
        <v>248</v>
      </c>
      <c r="E1375" s="481" t="s">
        <v>167</v>
      </c>
      <c r="F1375" s="404">
        <v>1129.32</v>
      </c>
      <c r="G1375" s="397" t="s">
        <v>1766</v>
      </c>
      <c r="H1375" s="389" t="s">
        <v>278</v>
      </c>
      <c r="I1375" s="398" t="s">
        <v>702</v>
      </c>
      <c r="J1375" s="399" t="s">
        <v>703</v>
      </c>
      <c r="K1375" s="390" t="str">
        <f t="shared" si="70"/>
        <v>XXX805100001XX</v>
      </c>
      <c r="L1375" s="391"/>
      <c r="M1375" s="398" t="s">
        <v>704</v>
      </c>
      <c r="N1375" s="399">
        <v>697</v>
      </c>
      <c r="O1375" s="399" t="s">
        <v>2089</v>
      </c>
      <c r="P1375" s="398" t="s">
        <v>868</v>
      </c>
    </row>
    <row r="1376" spans="1:16" s="401" customFormat="1" ht="60">
      <c r="A1376" s="429">
        <f t="shared" si="71"/>
        <v>1373</v>
      </c>
      <c r="B1376" s="387">
        <v>46142</v>
      </c>
      <c r="C1376" s="388">
        <v>46113</v>
      </c>
      <c r="D1376" s="392" t="s">
        <v>248</v>
      </c>
      <c r="E1376" s="482" t="s">
        <v>78</v>
      </c>
      <c r="F1376" s="404">
        <v>4107.34</v>
      </c>
      <c r="G1376" s="397" t="s">
        <v>2482</v>
      </c>
      <c r="H1376" s="392" t="s">
        <v>1029</v>
      </c>
      <c r="I1376" s="398" t="s">
        <v>658</v>
      </c>
      <c r="J1376" s="399" t="s">
        <v>659</v>
      </c>
      <c r="K1376" s="390" t="str">
        <f t="shared" si="70"/>
        <v>XXX694420001XX</v>
      </c>
      <c r="L1376" s="391"/>
      <c r="M1376" s="398" t="s">
        <v>708</v>
      </c>
      <c r="N1376" s="399">
        <v>709</v>
      </c>
      <c r="O1376" s="399" t="s">
        <v>2093</v>
      </c>
      <c r="P1376" s="398" t="s">
        <v>574</v>
      </c>
    </row>
    <row r="1377" spans="1:16" s="401" customFormat="1" ht="72">
      <c r="A1377" s="429">
        <f t="shared" si="71"/>
        <v>1374</v>
      </c>
      <c r="B1377" s="387">
        <v>46142</v>
      </c>
      <c r="C1377" s="388">
        <v>46113</v>
      </c>
      <c r="D1377" s="392" t="s">
        <v>248</v>
      </c>
      <c r="E1377" s="398" t="s">
        <v>1213</v>
      </c>
      <c r="F1377" s="404">
        <v>8550</v>
      </c>
      <c r="G1377" s="397" t="s">
        <v>2483</v>
      </c>
      <c r="H1377" s="392" t="s">
        <v>278</v>
      </c>
      <c r="I1377" s="398" t="s">
        <v>1105</v>
      </c>
      <c r="J1377" s="399" t="s">
        <v>1106</v>
      </c>
      <c r="K1377" s="390" t="str">
        <f t="shared" si="70"/>
        <v>XXX048080001XX</v>
      </c>
      <c r="L1377" s="391"/>
      <c r="M1377" s="398" t="s">
        <v>704</v>
      </c>
      <c r="N1377" s="399">
        <v>42</v>
      </c>
      <c r="O1377" s="399" t="s">
        <v>2096</v>
      </c>
      <c r="P1377" s="398" t="s">
        <v>868</v>
      </c>
    </row>
    <row r="1378" spans="1:16" s="401" customFormat="1" ht="36">
      <c r="A1378" s="429">
        <f t="shared" si="71"/>
        <v>1375</v>
      </c>
      <c r="B1378" s="387">
        <v>46142</v>
      </c>
      <c r="C1378" s="388">
        <v>46113</v>
      </c>
      <c r="D1378" s="392" t="s">
        <v>248</v>
      </c>
      <c r="E1378" s="482" t="s">
        <v>455</v>
      </c>
      <c r="F1378" s="404">
        <v>46475.62</v>
      </c>
      <c r="G1378" s="397" t="s">
        <v>2484</v>
      </c>
      <c r="H1378" s="389" t="s">
        <v>738</v>
      </c>
      <c r="I1378" s="398" t="s">
        <v>1433</v>
      </c>
      <c r="J1378" s="399" t="s">
        <v>1434</v>
      </c>
      <c r="K1378" s="390" t="str">
        <f t="shared" si="70"/>
        <v>XXX981830001XX</v>
      </c>
      <c r="L1378" s="391"/>
      <c r="M1378" s="398" t="s">
        <v>707</v>
      </c>
      <c r="N1378" s="399">
        <v>253</v>
      </c>
      <c r="O1378" s="399" t="s">
        <v>2094</v>
      </c>
      <c r="P1378" s="398" t="s">
        <v>868</v>
      </c>
    </row>
    <row r="1379" spans="1:16" s="401" customFormat="1" ht="36">
      <c r="A1379" s="429">
        <f t="shared" si="71"/>
        <v>1376</v>
      </c>
      <c r="B1379" s="387">
        <v>46142</v>
      </c>
      <c r="C1379" s="388">
        <v>46113</v>
      </c>
      <c r="D1379" s="392" t="s">
        <v>248</v>
      </c>
      <c r="E1379" s="398" t="s">
        <v>1208</v>
      </c>
      <c r="F1379" s="404">
        <v>610.84</v>
      </c>
      <c r="G1379" s="397" t="s">
        <v>2485</v>
      </c>
      <c r="H1379" s="389" t="s">
        <v>278</v>
      </c>
      <c r="I1379" s="398" t="s">
        <v>1046</v>
      </c>
      <c r="J1379" s="399" t="s">
        <v>1047</v>
      </c>
      <c r="K1379" s="390" t="str">
        <f t="shared" si="70"/>
        <v>XXX456080001XX</v>
      </c>
      <c r="L1379" s="391"/>
      <c r="M1379" s="398" t="s">
        <v>704</v>
      </c>
      <c r="N1379" s="399">
        <v>3259</v>
      </c>
      <c r="O1379" s="399" t="s">
        <v>2098</v>
      </c>
      <c r="P1379" s="398" t="s">
        <v>574</v>
      </c>
    </row>
    <row r="1380" spans="1:16" s="401" customFormat="1" ht="36">
      <c r="A1380" s="429">
        <f t="shared" si="71"/>
        <v>1377</v>
      </c>
      <c r="B1380" s="387">
        <v>46142</v>
      </c>
      <c r="C1380" s="388">
        <v>46082</v>
      </c>
      <c r="D1380" s="392" t="s">
        <v>166</v>
      </c>
      <c r="E1380" s="398" t="s">
        <v>2255</v>
      </c>
      <c r="F1380" s="491">
        <v>9549.01</v>
      </c>
      <c r="G1380" s="397" t="s">
        <v>2294</v>
      </c>
      <c r="H1380" s="389" t="s">
        <v>166</v>
      </c>
      <c r="I1380" s="398" t="s">
        <v>2141</v>
      </c>
      <c r="J1380" s="399" t="s">
        <v>2142</v>
      </c>
      <c r="K1380" s="390" t="str">
        <f t="shared" si="70"/>
        <v>XXX483330001XX</v>
      </c>
      <c r="L1380" s="391"/>
      <c r="M1380" s="398" t="s">
        <v>704</v>
      </c>
      <c r="N1380" s="399">
        <v>42026</v>
      </c>
      <c r="O1380" s="399" t="s">
        <v>1521</v>
      </c>
      <c r="P1380" s="398" t="s">
        <v>572</v>
      </c>
    </row>
    <row r="1381" spans="1:16" s="401" customFormat="1" ht="36">
      <c r="A1381" s="429">
        <f t="shared" si="71"/>
        <v>1378</v>
      </c>
      <c r="B1381" s="387">
        <v>46142</v>
      </c>
      <c r="C1381" s="388">
        <v>46113</v>
      </c>
      <c r="D1381" s="392" t="s">
        <v>248</v>
      </c>
      <c r="E1381" s="398" t="s">
        <v>592</v>
      </c>
      <c r="F1381" s="404">
        <v>776</v>
      </c>
      <c r="G1381" s="397" t="s">
        <v>2486</v>
      </c>
      <c r="H1381" s="392" t="s">
        <v>737</v>
      </c>
      <c r="I1381" s="398" t="s">
        <v>2240</v>
      </c>
      <c r="J1381" s="399" t="s">
        <v>2241</v>
      </c>
      <c r="K1381" s="390" t="str">
        <f t="shared" si="70"/>
        <v>XXX821920001XX</v>
      </c>
      <c r="L1381" s="403"/>
      <c r="M1381" s="398" t="s">
        <v>707</v>
      </c>
      <c r="N1381" s="399">
        <v>205</v>
      </c>
      <c r="O1381" s="399" t="s">
        <v>2103</v>
      </c>
      <c r="P1381" s="398" t="s">
        <v>868</v>
      </c>
    </row>
    <row r="1382" spans="1:16" s="401" customFormat="1" ht="48">
      <c r="A1382" s="429">
        <f t="shared" si="71"/>
        <v>1379</v>
      </c>
      <c r="B1382" s="387">
        <v>46142</v>
      </c>
      <c r="C1382" s="388">
        <v>46113</v>
      </c>
      <c r="D1382" s="392" t="s">
        <v>248</v>
      </c>
      <c r="E1382" s="398" t="s">
        <v>1552</v>
      </c>
      <c r="F1382" s="404">
        <v>9185.5499999999993</v>
      </c>
      <c r="G1382" s="397" t="s">
        <v>2487</v>
      </c>
      <c r="H1382" s="389" t="s">
        <v>736</v>
      </c>
      <c r="I1382" s="398" t="s">
        <v>2242</v>
      </c>
      <c r="J1382" s="399" t="s">
        <v>2243</v>
      </c>
      <c r="K1382" s="390" t="str">
        <f t="shared" si="70"/>
        <v>XXX019970001XX</v>
      </c>
      <c r="L1382" s="391"/>
      <c r="M1382" s="398" t="s">
        <v>707</v>
      </c>
      <c r="N1382" s="399">
        <v>33</v>
      </c>
      <c r="O1382" s="399" t="s">
        <v>2103</v>
      </c>
      <c r="P1382" s="398" t="s">
        <v>868</v>
      </c>
    </row>
    <row r="1383" spans="1:16" s="401" customFormat="1" ht="36">
      <c r="A1383" s="429">
        <f t="shared" si="71"/>
        <v>1380</v>
      </c>
      <c r="B1383" s="387">
        <v>46142</v>
      </c>
      <c r="C1383" s="388">
        <v>46113</v>
      </c>
      <c r="D1383" s="392" t="s">
        <v>248</v>
      </c>
      <c r="E1383" s="398" t="s">
        <v>1215</v>
      </c>
      <c r="F1383" s="404">
        <v>884.25</v>
      </c>
      <c r="G1383" s="397" t="s">
        <v>1319</v>
      </c>
      <c r="H1383" s="389" t="s">
        <v>278</v>
      </c>
      <c r="I1383" s="398" t="s">
        <v>2244</v>
      </c>
      <c r="J1383" s="399" t="s">
        <v>2245</v>
      </c>
      <c r="K1383" s="390" t="str">
        <f t="shared" ref="K1383" si="72">IF(J1383="","",IF(LEN(J1383)&gt;14,IF(ISBLANK(J1383),"",J1383),REPLACE(REPLACE(J1383,1,3,"XXX"),13,2,"XX")))</f>
        <v>XXX03611630 XX</v>
      </c>
      <c r="L1383" s="391"/>
      <c r="M1383" s="398" t="s">
        <v>708</v>
      </c>
      <c r="N1383" s="399">
        <v>75366</v>
      </c>
      <c r="O1383" s="399" t="s">
        <v>2103</v>
      </c>
      <c r="P1383" s="398" t="s">
        <v>574</v>
      </c>
    </row>
    <row r="1384" spans="1:16" s="401" customFormat="1" ht="36">
      <c r="A1384" s="429">
        <f t="shared" si="71"/>
        <v>1381</v>
      </c>
      <c r="B1384" s="387">
        <v>46142</v>
      </c>
      <c r="C1384" s="388">
        <v>46113</v>
      </c>
      <c r="D1384" s="392" t="s">
        <v>248</v>
      </c>
      <c r="E1384" s="398" t="s">
        <v>1215</v>
      </c>
      <c r="F1384" s="404">
        <v>902</v>
      </c>
      <c r="G1384" s="397" t="s">
        <v>1319</v>
      </c>
      <c r="H1384" s="389" t="s">
        <v>278</v>
      </c>
      <c r="I1384" s="398" t="s">
        <v>2246</v>
      </c>
      <c r="J1384" s="399" t="s">
        <v>2247</v>
      </c>
      <c r="K1384" s="390" t="str">
        <f t="shared" si="70"/>
        <v>XXX91865176 XX</v>
      </c>
      <c r="L1384" s="391"/>
      <c r="M1384" s="398" t="s">
        <v>708</v>
      </c>
      <c r="N1384" s="399">
        <v>75367</v>
      </c>
      <c r="O1384" s="399" t="s">
        <v>2103</v>
      </c>
      <c r="P1384" s="398" t="s">
        <v>574</v>
      </c>
    </row>
    <row r="1385" spans="1:16" s="401" customFormat="1" ht="84">
      <c r="A1385" s="429">
        <f t="shared" si="71"/>
        <v>1382</v>
      </c>
      <c r="B1385" s="387">
        <v>46142</v>
      </c>
      <c r="C1385" s="388">
        <v>46113</v>
      </c>
      <c r="D1385" s="392" t="s">
        <v>248</v>
      </c>
      <c r="E1385" s="398" t="s">
        <v>598</v>
      </c>
      <c r="F1385" s="404">
        <v>2716</v>
      </c>
      <c r="G1385" s="397" t="s">
        <v>2488</v>
      </c>
      <c r="H1385" s="389" t="s">
        <v>736</v>
      </c>
      <c r="I1385" s="398" t="s">
        <v>2248</v>
      </c>
      <c r="J1385" s="399" t="s">
        <v>2249</v>
      </c>
      <c r="K1385" s="390" t="str">
        <f t="shared" ref="K1385:K1389" si="73">IF(J1385="","",IF(LEN(J1385)&gt;14,IF(ISBLANK(J1385),"",J1385),REPLACE(REPLACE(J1385,1,3,"XXX"),13,2,"XX")))</f>
        <v>XXX483870001XX</v>
      </c>
      <c r="L1385" s="391"/>
      <c r="M1385" s="398" t="s">
        <v>707</v>
      </c>
      <c r="N1385" s="399">
        <v>71</v>
      </c>
      <c r="O1385" s="399" t="s">
        <v>2103</v>
      </c>
      <c r="P1385" s="398" t="s">
        <v>868</v>
      </c>
    </row>
    <row r="1386" spans="1:16" s="401" customFormat="1" ht="60">
      <c r="A1386" s="429">
        <f t="shared" si="71"/>
        <v>1383</v>
      </c>
      <c r="B1386" s="387">
        <v>46142</v>
      </c>
      <c r="C1386" s="388">
        <v>46113</v>
      </c>
      <c r="D1386" s="392" t="s">
        <v>248</v>
      </c>
      <c r="E1386" s="482" t="s">
        <v>78</v>
      </c>
      <c r="F1386" s="404">
        <v>1567.52</v>
      </c>
      <c r="G1386" s="397" t="s">
        <v>2489</v>
      </c>
      <c r="H1386" s="389" t="s">
        <v>736</v>
      </c>
      <c r="I1386" s="398" t="s">
        <v>2250</v>
      </c>
      <c r="J1386" s="399" t="s">
        <v>2251</v>
      </c>
      <c r="K1386" s="390" t="str">
        <f t="shared" si="73"/>
        <v>XXX560020001XX</v>
      </c>
      <c r="L1386" s="391"/>
      <c r="M1386" s="398" t="s">
        <v>708</v>
      </c>
      <c r="N1386" s="399">
        <v>26</v>
      </c>
      <c r="O1386" s="399" t="s">
        <v>2103</v>
      </c>
      <c r="P1386" s="398" t="s">
        <v>574</v>
      </c>
    </row>
    <row r="1387" spans="1:16" s="401" customFormat="1" ht="60">
      <c r="A1387" s="429">
        <f t="shared" si="71"/>
        <v>1384</v>
      </c>
      <c r="B1387" s="387">
        <v>46142</v>
      </c>
      <c r="C1387" s="388">
        <v>46113</v>
      </c>
      <c r="D1387" s="392" t="s">
        <v>248</v>
      </c>
      <c r="E1387" s="398" t="s">
        <v>591</v>
      </c>
      <c r="F1387" s="404">
        <v>1455.9</v>
      </c>
      <c r="G1387" s="397" t="s">
        <v>2490</v>
      </c>
      <c r="H1387" s="389" t="s">
        <v>736</v>
      </c>
      <c r="I1387" s="398" t="s">
        <v>2250</v>
      </c>
      <c r="J1387" s="399" t="s">
        <v>2251</v>
      </c>
      <c r="K1387" s="390" t="str">
        <f t="shared" si="73"/>
        <v>XXX560020001XX</v>
      </c>
      <c r="L1387" s="403"/>
      <c r="M1387" s="398" t="s">
        <v>708</v>
      </c>
      <c r="N1387" s="399">
        <v>25</v>
      </c>
      <c r="O1387" s="399" t="s">
        <v>2103</v>
      </c>
      <c r="P1387" s="398" t="s">
        <v>574</v>
      </c>
    </row>
    <row r="1388" spans="1:16" s="401" customFormat="1" ht="60">
      <c r="A1388" s="429">
        <f t="shared" si="71"/>
        <v>1385</v>
      </c>
      <c r="B1388" s="387">
        <v>46142</v>
      </c>
      <c r="C1388" s="388">
        <v>46113</v>
      </c>
      <c r="D1388" s="392" t="s">
        <v>248</v>
      </c>
      <c r="E1388" s="398" t="s">
        <v>1550</v>
      </c>
      <c r="F1388" s="404">
        <v>2818.2</v>
      </c>
      <c r="G1388" s="397" t="s">
        <v>2491</v>
      </c>
      <c r="H1388" s="389" t="s">
        <v>736</v>
      </c>
      <c r="I1388" s="398" t="s">
        <v>686</v>
      </c>
      <c r="J1388" s="399" t="s">
        <v>687</v>
      </c>
      <c r="K1388" s="390" t="str">
        <f t="shared" si="73"/>
        <v>XXX900500001XX</v>
      </c>
      <c r="L1388" s="403"/>
      <c r="M1388" s="398" t="s">
        <v>719</v>
      </c>
      <c r="N1388" s="399">
        <v>4516</v>
      </c>
      <c r="O1388" s="399" t="s">
        <v>2102</v>
      </c>
      <c r="P1388" s="398" t="s">
        <v>868</v>
      </c>
    </row>
    <row r="1389" spans="1:16" ht="39" customHeight="1">
      <c r="A1389" s="429">
        <f t="shared" si="71"/>
        <v>1386</v>
      </c>
      <c r="B1389" s="387">
        <v>46142</v>
      </c>
      <c r="C1389" s="388">
        <v>46113</v>
      </c>
      <c r="D1389" s="392" t="s">
        <v>248</v>
      </c>
      <c r="E1389" s="398" t="s">
        <v>1550</v>
      </c>
      <c r="F1389" s="404">
        <v>2818.2</v>
      </c>
      <c r="G1389" s="397" t="s">
        <v>2491</v>
      </c>
      <c r="H1389" s="389" t="s">
        <v>736</v>
      </c>
      <c r="I1389" s="398" t="s">
        <v>686</v>
      </c>
      <c r="J1389" s="399" t="s">
        <v>687</v>
      </c>
      <c r="K1389" s="394" t="str">
        <f t="shared" si="73"/>
        <v>XXX900500001XX</v>
      </c>
      <c r="L1389" s="391"/>
      <c r="M1389" s="398" t="s">
        <v>719</v>
      </c>
      <c r="N1389" s="399">
        <v>45144</v>
      </c>
      <c r="O1389" s="399" t="s">
        <v>2104</v>
      </c>
      <c r="P1389" s="398" t="s">
        <v>868</v>
      </c>
    </row>
    <row r="1390" spans="1:16" s="401" customFormat="1" ht="60">
      <c r="A1390" s="429">
        <f t="shared" si="71"/>
        <v>1387</v>
      </c>
      <c r="B1390" s="387">
        <v>46142</v>
      </c>
      <c r="C1390" s="388">
        <v>46113</v>
      </c>
      <c r="D1390" s="392" t="s">
        <v>248</v>
      </c>
      <c r="E1390" s="398" t="s">
        <v>1550</v>
      </c>
      <c r="F1390" s="404">
        <v>2818.2</v>
      </c>
      <c r="G1390" s="397" t="s">
        <v>2491</v>
      </c>
      <c r="H1390" s="389" t="s">
        <v>736</v>
      </c>
      <c r="I1390" s="398" t="s">
        <v>686</v>
      </c>
      <c r="J1390" s="399" t="s">
        <v>687</v>
      </c>
      <c r="K1390" s="390" t="str">
        <f t="shared" ref="K1390:K1408" si="74">IF(J1390="","",IF(LEN(J1390)&gt;14,IF(ISBLANK(J1390),"",J1390),REPLACE(REPLACE(J1390,1,3,"XXX"),13,2,"XX")))</f>
        <v>XXX900500001XX</v>
      </c>
      <c r="L1390" s="391"/>
      <c r="M1390" s="398" t="s">
        <v>719</v>
      </c>
      <c r="N1390" s="399">
        <v>4515</v>
      </c>
      <c r="O1390" s="399" t="s">
        <v>2102</v>
      </c>
      <c r="P1390" s="398" t="s">
        <v>868</v>
      </c>
    </row>
    <row r="1391" spans="1:16" s="401" customFormat="1" ht="36">
      <c r="A1391" s="429">
        <f t="shared" si="71"/>
        <v>1388</v>
      </c>
      <c r="B1391" s="387">
        <v>46142</v>
      </c>
      <c r="C1391" s="388">
        <v>46113</v>
      </c>
      <c r="D1391" s="392" t="s">
        <v>248</v>
      </c>
      <c r="E1391" s="398" t="s">
        <v>1551</v>
      </c>
      <c r="F1391" s="404">
        <v>965.2</v>
      </c>
      <c r="G1391" s="397" t="s">
        <v>2492</v>
      </c>
      <c r="H1391" s="389" t="s">
        <v>737</v>
      </c>
      <c r="I1391" s="398" t="s">
        <v>2252</v>
      </c>
      <c r="J1391" s="399" t="s">
        <v>2253</v>
      </c>
      <c r="K1391" s="390" t="str">
        <f t="shared" si="74"/>
        <v>XXX993310001XX</v>
      </c>
      <c r="L1391" s="391"/>
      <c r="M1391" s="398" t="s">
        <v>707</v>
      </c>
      <c r="N1391" s="399">
        <v>53</v>
      </c>
      <c r="O1391" s="399" t="s">
        <v>2104</v>
      </c>
      <c r="P1391" s="398" t="s">
        <v>868</v>
      </c>
    </row>
    <row r="1392" spans="1:16" s="401" customFormat="1" ht="96">
      <c r="A1392" s="429">
        <f t="shared" si="71"/>
        <v>1389</v>
      </c>
      <c r="B1392" s="387">
        <v>46142</v>
      </c>
      <c r="C1392" s="388">
        <v>46113</v>
      </c>
      <c r="D1392" s="392" t="s">
        <v>248</v>
      </c>
      <c r="E1392" s="398" t="s">
        <v>758</v>
      </c>
      <c r="F1392" s="404">
        <v>80377.240000000005</v>
      </c>
      <c r="G1392" s="397" t="s">
        <v>2493</v>
      </c>
      <c r="H1392" s="392" t="s">
        <v>738</v>
      </c>
      <c r="I1392" s="398" t="s">
        <v>700</v>
      </c>
      <c r="J1392" s="399" t="s">
        <v>701</v>
      </c>
      <c r="K1392" s="390" t="str">
        <f t="shared" si="74"/>
        <v>XXX759440001XX</v>
      </c>
      <c r="L1392" s="391"/>
      <c r="M1392" s="398" t="s">
        <v>707</v>
      </c>
      <c r="N1392" s="399">
        <v>280</v>
      </c>
      <c r="O1392" s="399" t="s">
        <v>2103</v>
      </c>
      <c r="P1392" s="398" t="s">
        <v>868</v>
      </c>
    </row>
    <row r="1393" spans="1:16" s="401" customFormat="1" ht="36">
      <c r="A1393" s="429">
        <f t="shared" si="71"/>
        <v>1390</v>
      </c>
      <c r="B1393" s="387">
        <v>46142</v>
      </c>
      <c r="C1393" s="388">
        <v>46113</v>
      </c>
      <c r="D1393" s="392" t="s">
        <v>248</v>
      </c>
      <c r="E1393" s="398" t="s">
        <v>1551</v>
      </c>
      <c r="F1393" s="404">
        <v>758.67</v>
      </c>
      <c r="G1393" s="397" t="s">
        <v>2494</v>
      </c>
      <c r="H1393" s="389" t="s">
        <v>737</v>
      </c>
      <c r="I1393" s="398" t="s">
        <v>2252</v>
      </c>
      <c r="J1393" s="399" t="s">
        <v>2253</v>
      </c>
      <c r="K1393" s="390" t="str">
        <f t="shared" si="74"/>
        <v>XXX993310001XX</v>
      </c>
      <c r="L1393" s="391"/>
      <c r="M1393" s="398" t="s">
        <v>707</v>
      </c>
      <c r="N1393" s="399">
        <v>52</v>
      </c>
      <c r="O1393" s="399" t="s">
        <v>2104</v>
      </c>
      <c r="P1393" s="398" t="s">
        <v>868</v>
      </c>
    </row>
    <row r="1394" spans="1:16" s="401" customFormat="1" ht="36">
      <c r="A1394" s="429">
        <f t="shared" si="71"/>
        <v>1391</v>
      </c>
      <c r="B1394" s="387">
        <v>46142</v>
      </c>
      <c r="C1394" s="388">
        <v>46113</v>
      </c>
      <c r="D1394" s="392" t="s">
        <v>248</v>
      </c>
      <c r="E1394" s="482" t="s">
        <v>171</v>
      </c>
      <c r="F1394" s="404">
        <v>169.75</v>
      </c>
      <c r="G1394" s="397" t="s">
        <v>2414</v>
      </c>
      <c r="H1394" s="389" t="s">
        <v>278</v>
      </c>
      <c r="I1394" s="398" t="s">
        <v>676</v>
      </c>
      <c r="J1394" s="399" t="s">
        <v>677</v>
      </c>
      <c r="K1394" s="390" t="str">
        <f t="shared" si="74"/>
        <v>XXX432920001XX</v>
      </c>
      <c r="L1394" s="391"/>
      <c r="M1394" s="398" t="s">
        <v>704</v>
      </c>
      <c r="N1394" s="399">
        <v>295</v>
      </c>
      <c r="O1394" s="399" t="s">
        <v>2103</v>
      </c>
      <c r="P1394" s="398" t="s">
        <v>574</v>
      </c>
    </row>
    <row r="1395" spans="1:16" s="401" customFormat="1" ht="36">
      <c r="A1395" s="429">
        <f t="shared" si="71"/>
        <v>1392</v>
      </c>
      <c r="B1395" s="387">
        <v>46142</v>
      </c>
      <c r="C1395" s="388">
        <v>46143</v>
      </c>
      <c r="D1395" s="392" t="s">
        <v>166</v>
      </c>
      <c r="E1395" s="398" t="s">
        <v>586</v>
      </c>
      <c r="F1395" s="491">
        <v>460</v>
      </c>
      <c r="G1395" s="397" t="s">
        <v>2495</v>
      </c>
      <c r="H1395" s="389" t="s">
        <v>166</v>
      </c>
      <c r="I1395" s="398" t="s">
        <v>620</v>
      </c>
      <c r="J1395" s="399" t="s">
        <v>621</v>
      </c>
      <c r="K1395" s="390" t="str">
        <f t="shared" si="74"/>
        <v>XXX408760001XX</v>
      </c>
      <c r="L1395" s="391"/>
      <c r="M1395" s="398" t="s">
        <v>706</v>
      </c>
      <c r="N1395" s="399">
        <v>2057887437</v>
      </c>
      <c r="O1395" s="399" t="s">
        <v>2118</v>
      </c>
      <c r="P1395" s="398" t="s">
        <v>572</v>
      </c>
    </row>
    <row r="1396" spans="1:16" s="401" customFormat="1" ht="48">
      <c r="A1396" s="429">
        <f t="shared" si="71"/>
        <v>1393</v>
      </c>
      <c r="B1396" s="387">
        <v>46142</v>
      </c>
      <c r="C1396" s="388">
        <v>46113</v>
      </c>
      <c r="D1396" s="392" t="s">
        <v>248</v>
      </c>
      <c r="E1396" s="398" t="s">
        <v>607</v>
      </c>
      <c r="F1396" s="491">
        <v>78.239999999999995</v>
      </c>
      <c r="G1396" s="397" t="s">
        <v>2496</v>
      </c>
      <c r="H1396" s="389" t="s">
        <v>736</v>
      </c>
      <c r="I1396" s="398" t="s">
        <v>2953</v>
      </c>
      <c r="J1396" s="399" t="s">
        <v>2954</v>
      </c>
      <c r="K1396" s="390" t="str">
        <f t="shared" si="74"/>
        <v>26.068.130/0003-11</v>
      </c>
      <c r="L1396" s="391"/>
      <c r="M1396" s="398" t="s">
        <v>710</v>
      </c>
      <c r="N1396" s="399">
        <v>105709</v>
      </c>
      <c r="O1396" s="399" t="s">
        <v>2107</v>
      </c>
      <c r="P1396" s="391" t="s">
        <v>2525</v>
      </c>
    </row>
    <row r="1397" spans="1:16" s="401" customFormat="1" ht="48">
      <c r="A1397" s="429">
        <f t="shared" si="71"/>
        <v>1394</v>
      </c>
      <c r="B1397" s="387">
        <v>46142</v>
      </c>
      <c r="C1397" s="388">
        <v>46113</v>
      </c>
      <c r="D1397" s="392" t="s">
        <v>248</v>
      </c>
      <c r="E1397" s="398" t="s">
        <v>607</v>
      </c>
      <c r="F1397" s="491">
        <v>54.96</v>
      </c>
      <c r="G1397" s="397" t="s">
        <v>2497</v>
      </c>
      <c r="H1397" s="389" t="s">
        <v>736</v>
      </c>
      <c r="I1397" s="398" t="s">
        <v>2955</v>
      </c>
      <c r="J1397" s="399" t="s">
        <v>2956</v>
      </c>
      <c r="K1397" s="390" t="str">
        <f t="shared" si="74"/>
        <v>01.928.075/0016-86</v>
      </c>
      <c r="L1397" s="391"/>
      <c r="M1397" s="398" t="s">
        <v>710</v>
      </c>
      <c r="N1397" s="399">
        <v>342310</v>
      </c>
      <c r="O1397" s="399" t="s">
        <v>2107</v>
      </c>
      <c r="P1397" s="391" t="s">
        <v>2525</v>
      </c>
    </row>
    <row r="1398" spans="1:16" s="401" customFormat="1" ht="51" customHeight="1">
      <c r="A1398" s="429">
        <f t="shared" si="71"/>
        <v>1395</v>
      </c>
      <c r="B1398" s="387">
        <v>46142</v>
      </c>
      <c r="C1398" s="388">
        <v>46113</v>
      </c>
      <c r="D1398" s="389" t="s">
        <v>353</v>
      </c>
      <c r="E1398" s="480" t="s">
        <v>336</v>
      </c>
      <c r="F1398" s="491">
        <v>2702.97</v>
      </c>
      <c r="G1398" s="397" t="s">
        <v>2498</v>
      </c>
      <c r="H1398" s="389" t="s">
        <v>280</v>
      </c>
      <c r="I1398" s="394" t="s">
        <v>744</v>
      </c>
      <c r="J1398" s="455">
        <v>7837375000150</v>
      </c>
      <c r="K1398" s="390" t="str">
        <f t="shared" si="74"/>
        <v>XXX737500015XX</v>
      </c>
      <c r="L1398" s="391"/>
      <c r="M1398" s="398" t="s">
        <v>734</v>
      </c>
      <c r="N1398" s="399">
        <v>42026</v>
      </c>
      <c r="O1398" s="399" t="s">
        <v>2089</v>
      </c>
      <c r="P1398" s="398" t="s">
        <v>573</v>
      </c>
    </row>
    <row r="1399" spans="1:16" s="401" customFormat="1" ht="24">
      <c r="A1399" s="429">
        <f t="shared" si="71"/>
        <v>1396</v>
      </c>
      <c r="B1399" s="387">
        <v>46142</v>
      </c>
      <c r="C1399" s="388">
        <v>46113</v>
      </c>
      <c r="D1399" s="389" t="s">
        <v>353</v>
      </c>
      <c r="E1399" s="480" t="s">
        <v>336</v>
      </c>
      <c r="F1399" s="491">
        <v>71945.33</v>
      </c>
      <c r="G1399" s="397" t="s">
        <v>2498</v>
      </c>
      <c r="H1399" s="389" t="s">
        <v>280</v>
      </c>
      <c r="I1399" s="394" t="s">
        <v>744</v>
      </c>
      <c r="J1399" s="455">
        <v>7837375000150</v>
      </c>
      <c r="K1399" s="390" t="str">
        <f t="shared" si="74"/>
        <v>XXX737500015XX</v>
      </c>
      <c r="L1399" s="391"/>
      <c r="M1399" s="398" t="s">
        <v>734</v>
      </c>
      <c r="N1399" s="399">
        <v>42026</v>
      </c>
      <c r="O1399" s="399" t="s">
        <v>2089</v>
      </c>
      <c r="P1399" s="398" t="s">
        <v>573</v>
      </c>
    </row>
    <row r="1400" spans="1:16" s="401" customFormat="1" ht="36">
      <c r="A1400" s="429">
        <f t="shared" si="71"/>
        <v>1397</v>
      </c>
      <c r="B1400" s="387">
        <v>46142</v>
      </c>
      <c r="C1400" s="388">
        <v>46113</v>
      </c>
      <c r="D1400" s="389" t="s">
        <v>339</v>
      </c>
      <c r="E1400" s="398" t="s">
        <v>339</v>
      </c>
      <c r="F1400" s="404">
        <v>3700.89</v>
      </c>
      <c r="G1400" s="397" t="s">
        <v>2498</v>
      </c>
      <c r="H1400" s="389" t="s">
        <v>280</v>
      </c>
      <c r="I1400" s="394" t="s">
        <v>744</v>
      </c>
      <c r="J1400" s="455">
        <v>7837375000150</v>
      </c>
      <c r="K1400" s="390" t="str">
        <f t="shared" si="74"/>
        <v>XXX737500015XX</v>
      </c>
      <c r="L1400" s="391"/>
      <c r="M1400" s="398" t="s">
        <v>728</v>
      </c>
      <c r="N1400" s="399">
        <v>42026</v>
      </c>
      <c r="O1400" s="399" t="s">
        <v>2089</v>
      </c>
      <c r="P1400" s="398" t="s">
        <v>574</v>
      </c>
    </row>
    <row r="1401" spans="1:16" s="401" customFormat="1" ht="36">
      <c r="A1401" s="429">
        <f t="shared" si="71"/>
        <v>1398</v>
      </c>
      <c r="B1401" s="387">
        <v>46142</v>
      </c>
      <c r="C1401" s="388">
        <v>46113</v>
      </c>
      <c r="D1401" s="389" t="s">
        <v>339</v>
      </c>
      <c r="E1401" s="398" t="s">
        <v>339</v>
      </c>
      <c r="F1401" s="491">
        <v>-2152.4499999999998</v>
      </c>
      <c r="G1401" s="397" t="s">
        <v>2500</v>
      </c>
      <c r="H1401" s="389" t="s">
        <v>280</v>
      </c>
      <c r="I1401" s="394" t="s">
        <v>744</v>
      </c>
      <c r="J1401" s="455">
        <v>7837375000150</v>
      </c>
      <c r="K1401" s="390" t="str">
        <f t="shared" si="74"/>
        <v>XXX737500015XX</v>
      </c>
      <c r="L1401" s="391"/>
      <c r="M1401" s="398" t="s">
        <v>730</v>
      </c>
      <c r="N1401" s="399">
        <v>42026</v>
      </c>
      <c r="O1401" s="399" t="s">
        <v>2089</v>
      </c>
      <c r="P1401" s="398" t="s">
        <v>572</v>
      </c>
    </row>
    <row r="1402" spans="1:16" s="401" customFormat="1" ht="36">
      <c r="A1402" s="429">
        <f t="shared" si="71"/>
        <v>1399</v>
      </c>
      <c r="B1402" s="387">
        <v>46142</v>
      </c>
      <c r="C1402" s="388">
        <v>46113</v>
      </c>
      <c r="D1402" s="389" t="s">
        <v>339</v>
      </c>
      <c r="E1402" s="398" t="s">
        <v>339</v>
      </c>
      <c r="F1402" s="491">
        <v>-3136.49</v>
      </c>
      <c r="G1402" s="397" t="s">
        <v>2501</v>
      </c>
      <c r="H1402" s="389" t="s">
        <v>280</v>
      </c>
      <c r="I1402" s="394" t="s">
        <v>744</v>
      </c>
      <c r="J1402" s="455">
        <v>7837375000150</v>
      </c>
      <c r="K1402" s="390" t="str">
        <f t="shared" si="74"/>
        <v>XXX737500015XX</v>
      </c>
      <c r="L1402" s="391"/>
      <c r="M1402" s="398" t="s">
        <v>753</v>
      </c>
      <c r="N1402" s="399">
        <v>42026</v>
      </c>
      <c r="O1402" s="399" t="s">
        <v>2089</v>
      </c>
      <c r="P1402" s="398" t="s">
        <v>572</v>
      </c>
    </row>
    <row r="1403" spans="1:16" s="401" customFormat="1" ht="36">
      <c r="A1403" s="429">
        <f t="shared" si="71"/>
        <v>1400</v>
      </c>
      <c r="B1403" s="387">
        <v>46142</v>
      </c>
      <c r="C1403" s="388">
        <v>46113</v>
      </c>
      <c r="D1403" s="389" t="s">
        <v>339</v>
      </c>
      <c r="E1403" s="398" t="s">
        <v>339</v>
      </c>
      <c r="F1403" s="491">
        <v>11407.97</v>
      </c>
      <c r="G1403" s="397" t="s">
        <v>2498</v>
      </c>
      <c r="H1403" s="389" t="s">
        <v>280</v>
      </c>
      <c r="I1403" s="394" t="s">
        <v>744</v>
      </c>
      <c r="J1403" s="455">
        <v>7837375000150</v>
      </c>
      <c r="K1403" s="390" t="str">
        <f t="shared" si="74"/>
        <v>XXX737500015XX</v>
      </c>
      <c r="L1403" s="391"/>
      <c r="M1403" s="398" t="s">
        <v>729</v>
      </c>
      <c r="N1403" s="399">
        <v>42026</v>
      </c>
      <c r="O1403" s="399" t="s">
        <v>2089</v>
      </c>
      <c r="P1403" s="398" t="s">
        <v>572</v>
      </c>
    </row>
    <row r="1404" spans="1:16" s="401" customFormat="1" ht="36">
      <c r="A1404" s="429">
        <f t="shared" si="71"/>
        <v>1401</v>
      </c>
      <c r="B1404" s="387">
        <v>46142</v>
      </c>
      <c r="C1404" s="388">
        <v>46113</v>
      </c>
      <c r="D1404" s="389" t="s">
        <v>353</v>
      </c>
      <c r="E1404" s="480" t="s">
        <v>336</v>
      </c>
      <c r="F1404" s="404">
        <v>182.85</v>
      </c>
      <c r="G1404" s="397" t="s">
        <v>2498</v>
      </c>
      <c r="H1404" s="389" t="s">
        <v>280</v>
      </c>
      <c r="I1404" s="394" t="s">
        <v>744</v>
      </c>
      <c r="J1404" s="455">
        <v>7837375000150</v>
      </c>
      <c r="K1404" s="390" t="str">
        <f t="shared" si="74"/>
        <v>XXX737500015XX</v>
      </c>
      <c r="L1404" s="391"/>
      <c r="M1404" s="398" t="s">
        <v>732</v>
      </c>
      <c r="N1404" s="399">
        <v>42026</v>
      </c>
      <c r="O1404" s="399" t="s">
        <v>2089</v>
      </c>
      <c r="P1404" s="398" t="s">
        <v>575</v>
      </c>
    </row>
    <row r="1405" spans="1:16" s="401" customFormat="1" ht="36">
      <c r="A1405" s="429">
        <f t="shared" si="71"/>
        <v>1402</v>
      </c>
      <c r="B1405" s="387">
        <v>46142</v>
      </c>
      <c r="C1405" s="388">
        <v>46113</v>
      </c>
      <c r="D1405" s="389" t="s">
        <v>353</v>
      </c>
      <c r="E1405" s="480" t="s">
        <v>336</v>
      </c>
      <c r="F1405" s="404">
        <v>14791.79</v>
      </c>
      <c r="G1405" s="397" t="s">
        <v>2498</v>
      </c>
      <c r="H1405" s="389" t="s">
        <v>280</v>
      </c>
      <c r="I1405" s="394" t="s">
        <v>744</v>
      </c>
      <c r="J1405" s="455">
        <v>7837375000150</v>
      </c>
      <c r="K1405" s="390" t="str">
        <f t="shared" si="74"/>
        <v>XXX737500015XX</v>
      </c>
      <c r="L1405" s="391"/>
      <c r="M1405" s="398" t="s">
        <v>732</v>
      </c>
      <c r="N1405" s="399">
        <v>42026</v>
      </c>
      <c r="O1405" s="399" t="s">
        <v>2089</v>
      </c>
      <c r="P1405" s="398" t="s">
        <v>1780</v>
      </c>
    </row>
    <row r="1406" spans="1:16" s="401" customFormat="1" ht="60">
      <c r="A1406" s="429">
        <f t="shared" si="71"/>
        <v>1403</v>
      </c>
      <c r="B1406" s="387">
        <v>46142</v>
      </c>
      <c r="C1406" s="388">
        <v>46113</v>
      </c>
      <c r="D1406" s="392" t="s">
        <v>248</v>
      </c>
      <c r="E1406" s="482" t="s">
        <v>78</v>
      </c>
      <c r="F1406" s="404">
        <v>523.71</v>
      </c>
      <c r="G1406" s="397" t="s">
        <v>2502</v>
      </c>
      <c r="H1406" s="389" t="s">
        <v>738</v>
      </c>
      <c r="I1406" s="398" t="s">
        <v>754</v>
      </c>
      <c r="J1406" s="399" t="s">
        <v>755</v>
      </c>
      <c r="K1406" s="390" t="str">
        <f t="shared" si="74"/>
        <v>XXX748510001XX</v>
      </c>
      <c r="L1406" s="391"/>
      <c r="M1406" s="398" t="s">
        <v>708</v>
      </c>
      <c r="N1406" s="399">
        <v>31</v>
      </c>
      <c r="O1406" s="399" t="s">
        <v>2104</v>
      </c>
      <c r="P1406" s="398" t="s">
        <v>574</v>
      </c>
    </row>
    <row r="1407" spans="1:16" s="401" customFormat="1" ht="36">
      <c r="A1407" s="429">
        <f t="shared" si="71"/>
        <v>1404</v>
      </c>
      <c r="B1407" s="387">
        <v>46142</v>
      </c>
      <c r="C1407" s="388">
        <v>46113</v>
      </c>
      <c r="D1407" s="392" t="s">
        <v>166</v>
      </c>
      <c r="E1407" s="398" t="s">
        <v>584</v>
      </c>
      <c r="F1407" s="491">
        <v>277.61</v>
      </c>
      <c r="G1407" s="397" t="s">
        <v>2503</v>
      </c>
      <c r="H1407" s="389" t="s">
        <v>166</v>
      </c>
      <c r="I1407" s="398" t="s">
        <v>618</v>
      </c>
      <c r="J1407" s="399" t="s">
        <v>619</v>
      </c>
      <c r="K1407" s="390" t="str">
        <f t="shared" si="74"/>
        <v>XXX985050001XX</v>
      </c>
      <c r="L1407" s="391"/>
      <c r="M1407" s="398" t="s">
        <v>706</v>
      </c>
      <c r="N1407" s="399">
        <v>2057887447</v>
      </c>
      <c r="O1407" s="399" t="s">
        <v>2107</v>
      </c>
      <c r="P1407" s="398" t="s">
        <v>572</v>
      </c>
    </row>
    <row r="1408" spans="1:16" s="401" customFormat="1" ht="36">
      <c r="A1408" s="429">
        <f t="shared" si="71"/>
        <v>1405</v>
      </c>
      <c r="B1408" s="387">
        <v>46142</v>
      </c>
      <c r="C1408" s="388">
        <v>46113</v>
      </c>
      <c r="D1408" s="389" t="s">
        <v>353</v>
      </c>
      <c r="E1408" s="480" t="s">
        <v>336</v>
      </c>
      <c r="F1408" s="404">
        <v>-10372.68</v>
      </c>
      <c r="G1408" s="397" t="s">
        <v>2504</v>
      </c>
      <c r="H1408" s="389" t="s">
        <v>280</v>
      </c>
      <c r="I1408" s="394" t="s">
        <v>744</v>
      </c>
      <c r="J1408" s="455">
        <v>7837375000150</v>
      </c>
      <c r="K1408" s="390" t="str">
        <f t="shared" si="74"/>
        <v>XXX737500015XX</v>
      </c>
      <c r="L1408" s="391"/>
      <c r="M1408" s="398" t="s">
        <v>731</v>
      </c>
      <c r="N1408" s="399">
        <v>42026</v>
      </c>
      <c r="O1408" s="399" t="s">
        <v>2089</v>
      </c>
      <c r="P1408" s="398" t="s">
        <v>868</v>
      </c>
    </row>
    <row r="1409" spans="1:16" s="401" customFormat="1" ht="36">
      <c r="A1409" s="429">
        <f t="shared" si="71"/>
        <v>1406</v>
      </c>
      <c r="B1409" s="387">
        <v>46142</v>
      </c>
      <c r="C1409" s="388">
        <v>46113</v>
      </c>
      <c r="D1409" s="389" t="s">
        <v>353</v>
      </c>
      <c r="E1409" s="480" t="s">
        <v>336</v>
      </c>
      <c r="F1409" s="404">
        <v>29295.279999999999</v>
      </c>
      <c r="G1409" s="397" t="s">
        <v>2505</v>
      </c>
      <c r="H1409" s="389" t="s">
        <v>280</v>
      </c>
      <c r="I1409" s="394" t="s">
        <v>744</v>
      </c>
      <c r="J1409" s="455">
        <v>7837375000150</v>
      </c>
      <c r="K1409" s="390" t="str">
        <f t="shared" ref="K1409:K1438" si="75">IF(J1409="","",IF(LEN(J1409)&gt;14,IF(ISBLANK(J1409),"",J1409),REPLACE(REPLACE(J1409,1,3,"XXX"),13,2,"XX")))</f>
        <v>XXX737500015XX</v>
      </c>
      <c r="L1409" s="391"/>
      <c r="M1409" s="398" t="s">
        <v>733</v>
      </c>
      <c r="N1409" s="399">
        <v>42026</v>
      </c>
      <c r="O1409" s="399" t="s">
        <v>2089</v>
      </c>
      <c r="P1409" s="398" t="s">
        <v>868</v>
      </c>
    </row>
    <row r="1410" spans="1:16" s="401" customFormat="1" ht="36">
      <c r="A1410" s="429">
        <f t="shared" si="71"/>
        <v>1407</v>
      </c>
      <c r="B1410" s="387">
        <v>46142</v>
      </c>
      <c r="C1410" s="388">
        <v>46113</v>
      </c>
      <c r="D1410" s="392" t="s">
        <v>353</v>
      </c>
      <c r="E1410" s="480" t="s">
        <v>153</v>
      </c>
      <c r="F1410" s="404">
        <v>24255.32</v>
      </c>
      <c r="G1410" s="397" t="s">
        <v>2506</v>
      </c>
      <c r="H1410" s="389" t="s">
        <v>280</v>
      </c>
      <c r="I1410" s="394" t="s">
        <v>744</v>
      </c>
      <c r="J1410" s="455">
        <v>7837375000150</v>
      </c>
      <c r="K1410" s="390" t="str">
        <f t="shared" si="75"/>
        <v>XXX737500015XX</v>
      </c>
      <c r="L1410" s="391"/>
      <c r="M1410" s="398" t="s">
        <v>726</v>
      </c>
      <c r="N1410" s="399">
        <v>25042026</v>
      </c>
      <c r="O1410" s="399" t="s">
        <v>2119</v>
      </c>
      <c r="P1410" s="398" t="s">
        <v>574</v>
      </c>
    </row>
    <row r="1411" spans="1:16" s="401" customFormat="1" ht="36">
      <c r="A1411" s="429">
        <f t="shared" si="71"/>
        <v>1408</v>
      </c>
      <c r="B1411" s="387">
        <v>46142</v>
      </c>
      <c r="C1411" s="388">
        <v>46113</v>
      </c>
      <c r="D1411" s="392" t="s">
        <v>353</v>
      </c>
      <c r="E1411" s="480" t="s">
        <v>153</v>
      </c>
      <c r="F1411" s="404">
        <v>39598.559999999998</v>
      </c>
      <c r="G1411" s="397" t="s">
        <v>821</v>
      </c>
      <c r="H1411" s="389" t="s">
        <v>280</v>
      </c>
      <c r="I1411" s="394" t="s">
        <v>744</v>
      </c>
      <c r="J1411" s="455">
        <v>7837375000150</v>
      </c>
      <c r="K1411" s="390" t="str">
        <f t="shared" si="75"/>
        <v>XXX737500015XX</v>
      </c>
      <c r="L1411" s="391"/>
      <c r="M1411" s="398" t="s">
        <v>706</v>
      </c>
      <c r="N1411" s="399">
        <v>2057887449</v>
      </c>
      <c r="O1411" s="399" t="s">
        <v>2107</v>
      </c>
      <c r="P1411" s="398" t="s">
        <v>574</v>
      </c>
    </row>
    <row r="1412" spans="1:16" s="401" customFormat="1" ht="72">
      <c r="A1412" s="429">
        <f t="shared" si="71"/>
        <v>1409</v>
      </c>
      <c r="B1412" s="387">
        <v>46142</v>
      </c>
      <c r="C1412" s="388">
        <v>46113</v>
      </c>
      <c r="D1412" s="392" t="s">
        <v>248</v>
      </c>
      <c r="E1412" s="398" t="s">
        <v>605</v>
      </c>
      <c r="F1412" s="404">
        <v>63.39</v>
      </c>
      <c r="G1412" s="397" t="s">
        <v>2507</v>
      </c>
      <c r="H1412" s="389" t="s">
        <v>278</v>
      </c>
      <c r="I1412" s="398" t="s">
        <v>637</v>
      </c>
      <c r="J1412" s="399" t="s">
        <v>638</v>
      </c>
      <c r="K1412" s="390" t="str">
        <f t="shared" si="75"/>
        <v>XXX128340001XX</v>
      </c>
      <c r="L1412" s="391"/>
      <c r="M1412" s="398" t="s">
        <v>1205</v>
      </c>
      <c r="N1412" s="399">
        <v>74310326</v>
      </c>
      <c r="O1412" s="399" t="s">
        <v>2089</v>
      </c>
      <c r="P1412" s="398" t="s">
        <v>574</v>
      </c>
    </row>
    <row r="1413" spans="1:16" s="401" customFormat="1" ht="60">
      <c r="A1413" s="429">
        <f t="shared" si="71"/>
        <v>1410</v>
      </c>
      <c r="B1413" s="387">
        <v>46142</v>
      </c>
      <c r="C1413" s="388">
        <v>46113</v>
      </c>
      <c r="D1413" s="392" t="s">
        <v>248</v>
      </c>
      <c r="E1413" s="398" t="s">
        <v>605</v>
      </c>
      <c r="F1413" s="404">
        <v>2674.7</v>
      </c>
      <c r="G1413" s="397" t="s">
        <v>2508</v>
      </c>
      <c r="H1413" s="389" t="s">
        <v>278</v>
      </c>
      <c r="I1413" s="398" t="s">
        <v>637</v>
      </c>
      <c r="J1413" s="399" t="s">
        <v>638</v>
      </c>
      <c r="K1413" s="390" t="str">
        <f t="shared" si="75"/>
        <v>XXX128340001XX</v>
      </c>
      <c r="L1413" s="391"/>
      <c r="M1413" s="398" t="s">
        <v>713</v>
      </c>
      <c r="N1413" s="399">
        <v>74310326</v>
      </c>
      <c r="O1413" s="399" t="s">
        <v>2089</v>
      </c>
      <c r="P1413" s="398" t="s">
        <v>574</v>
      </c>
    </row>
    <row r="1414" spans="1:16" s="401" customFormat="1" ht="36">
      <c r="A1414" s="429">
        <f t="shared" si="71"/>
        <v>1411</v>
      </c>
      <c r="B1414" s="387">
        <v>46142</v>
      </c>
      <c r="C1414" s="388">
        <v>46113</v>
      </c>
      <c r="D1414" s="389" t="s">
        <v>353</v>
      </c>
      <c r="E1414" s="480" t="s">
        <v>336</v>
      </c>
      <c r="F1414" s="434">
        <v>103.09</v>
      </c>
      <c r="G1414" s="397" t="s">
        <v>2505</v>
      </c>
      <c r="H1414" s="389" t="s">
        <v>280</v>
      </c>
      <c r="I1414" s="394" t="s">
        <v>744</v>
      </c>
      <c r="J1414" s="455">
        <v>7837375000150</v>
      </c>
      <c r="K1414" s="390" t="str">
        <f t="shared" si="75"/>
        <v>XXX737500015XX</v>
      </c>
      <c r="L1414" s="391"/>
      <c r="M1414" s="398" t="s">
        <v>733</v>
      </c>
      <c r="N1414" s="399">
        <v>42026</v>
      </c>
      <c r="O1414" s="399" t="s">
        <v>2089</v>
      </c>
      <c r="P1414" s="398" t="s">
        <v>576</v>
      </c>
    </row>
    <row r="1415" spans="1:16" s="401" customFormat="1" ht="36">
      <c r="A1415" s="429">
        <f t="shared" si="71"/>
        <v>1412</v>
      </c>
      <c r="B1415" s="387">
        <v>46142</v>
      </c>
      <c r="C1415" s="388">
        <v>46113</v>
      </c>
      <c r="D1415" s="389" t="s">
        <v>353</v>
      </c>
      <c r="E1415" s="480" t="s">
        <v>336</v>
      </c>
      <c r="F1415" s="434">
        <v>-3.95</v>
      </c>
      <c r="G1415" s="397" t="s">
        <v>2509</v>
      </c>
      <c r="H1415" s="389" t="s">
        <v>280</v>
      </c>
      <c r="I1415" s="394" t="s">
        <v>744</v>
      </c>
      <c r="J1415" s="455">
        <v>7837375000150</v>
      </c>
      <c r="K1415" s="390" t="str">
        <f t="shared" si="75"/>
        <v>XXX737500015XX</v>
      </c>
      <c r="L1415" s="391"/>
      <c r="M1415" s="398" t="s">
        <v>731</v>
      </c>
      <c r="N1415" s="399">
        <v>42026</v>
      </c>
      <c r="O1415" s="399" t="s">
        <v>2089</v>
      </c>
      <c r="P1415" s="398" t="s">
        <v>576</v>
      </c>
    </row>
    <row r="1416" spans="1:16" s="401" customFormat="1" ht="62.25" customHeight="1">
      <c r="A1416" s="429">
        <f t="shared" si="71"/>
        <v>1413</v>
      </c>
      <c r="B1416" s="387">
        <v>46142</v>
      </c>
      <c r="C1416" s="388">
        <v>46113</v>
      </c>
      <c r="D1416" s="389" t="s">
        <v>353</v>
      </c>
      <c r="E1416" s="480" t="s">
        <v>336</v>
      </c>
      <c r="F1416" s="434">
        <v>-85.55</v>
      </c>
      <c r="G1416" s="397" t="s">
        <v>2510</v>
      </c>
      <c r="H1416" s="389" t="s">
        <v>280</v>
      </c>
      <c r="I1416" s="394" t="s">
        <v>744</v>
      </c>
      <c r="J1416" s="455">
        <v>7837375000150</v>
      </c>
      <c r="K1416" s="390" t="str">
        <f t="shared" si="75"/>
        <v>XXX737500015XX</v>
      </c>
      <c r="L1416" s="391"/>
      <c r="M1416" s="398" t="s">
        <v>819</v>
      </c>
      <c r="N1416" s="399">
        <v>42026</v>
      </c>
      <c r="O1416" s="399" t="s">
        <v>2089</v>
      </c>
      <c r="P1416" s="398" t="s">
        <v>576</v>
      </c>
    </row>
    <row r="1417" spans="1:16" s="401" customFormat="1" ht="36">
      <c r="A1417" s="429">
        <f t="shared" si="71"/>
        <v>1414</v>
      </c>
      <c r="B1417" s="387">
        <v>46144</v>
      </c>
      <c r="C1417" s="388">
        <v>46143</v>
      </c>
      <c r="D1417" s="389" t="s">
        <v>248</v>
      </c>
      <c r="E1417" s="484" t="s">
        <v>597</v>
      </c>
      <c r="F1417" s="491">
        <v>31.98</v>
      </c>
      <c r="G1417" s="486" t="s">
        <v>2677</v>
      </c>
      <c r="H1417" s="389" t="s">
        <v>736</v>
      </c>
      <c r="I1417" s="484" t="s">
        <v>2975</v>
      </c>
      <c r="J1417" s="487" t="s">
        <v>2976</v>
      </c>
      <c r="K1417" s="390" t="str">
        <f t="shared" si="75"/>
        <v>22.300.487-0019-90</v>
      </c>
      <c r="L1417" s="391"/>
      <c r="M1417" s="484" t="s">
        <v>710</v>
      </c>
      <c r="N1417" s="487">
        <v>175660</v>
      </c>
      <c r="O1417" s="487" t="s">
        <v>2526</v>
      </c>
      <c r="P1417" s="391" t="s">
        <v>2525</v>
      </c>
    </row>
    <row r="1418" spans="1:16" s="401" customFormat="1" ht="36">
      <c r="A1418" s="429">
        <f t="shared" si="71"/>
        <v>1415</v>
      </c>
      <c r="B1418" s="387">
        <v>46146</v>
      </c>
      <c r="C1418" s="388">
        <v>46113</v>
      </c>
      <c r="D1418" s="389" t="s">
        <v>248</v>
      </c>
      <c r="E1418" s="59" t="s">
        <v>170</v>
      </c>
      <c r="F1418" s="491">
        <v>1707.24</v>
      </c>
      <c r="G1418" s="486" t="s">
        <v>2678</v>
      </c>
      <c r="H1418" s="392" t="s">
        <v>278</v>
      </c>
      <c r="I1418" s="484" t="s">
        <v>628</v>
      </c>
      <c r="J1418" s="487" t="s">
        <v>629</v>
      </c>
      <c r="K1418" s="390" t="str">
        <f t="shared" si="75"/>
        <v>XXX905900001XX</v>
      </c>
      <c r="L1418" s="391"/>
      <c r="M1418" s="484" t="s">
        <v>704</v>
      </c>
      <c r="N1418" s="487">
        <v>16842099</v>
      </c>
      <c r="O1418" s="487" t="s">
        <v>2089</v>
      </c>
      <c r="P1418" s="398" t="s">
        <v>574</v>
      </c>
    </row>
    <row r="1419" spans="1:16" s="401" customFormat="1" ht="38.25" customHeight="1">
      <c r="A1419" s="429">
        <f t="shared" ref="A1419:A1454" si="76">IF(B1419="","",ROW()-ROW($A$3))</f>
        <v>1416</v>
      </c>
      <c r="B1419" s="387">
        <v>46146</v>
      </c>
      <c r="C1419" s="388">
        <v>46113</v>
      </c>
      <c r="D1419" s="389" t="s">
        <v>248</v>
      </c>
      <c r="E1419" s="484" t="s">
        <v>582</v>
      </c>
      <c r="F1419" s="491">
        <v>1824.28</v>
      </c>
      <c r="G1419" s="486" t="s">
        <v>2679</v>
      </c>
      <c r="H1419" s="389" t="s">
        <v>737</v>
      </c>
      <c r="I1419" s="484" t="s">
        <v>613</v>
      </c>
      <c r="J1419" s="487" t="s">
        <v>773</v>
      </c>
      <c r="K1419" s="390" t="str">
        <f t="shared" si="75"/>
        <v>XXX000000000XX</v>
      </c>
      <c r="L1419" s="391"/>
      <c r="M1419" s="484" t="s">
        <v>704</v>
      </c>
      <c r="N1419" s="487">
        <v>263785051</v>
      </c>
      <c r="O1419" s="487" t="s">
        <v>2090</v>
      </c>
      <c r="P1419" s="398" t="s">
        <v>574</v>
      </c>
    </row>
    <row r="1420" spans="1:16" s="401" customFormat="1" ht="63" customHeight="1">
      <c r="A1420" s="429">
        <f t="shared" si="76"/>
        <v>1417</v>
      </c>
      <c r="B1420" s="387">
        <v>46146</v>
      </c>
      <c r="C1420" s="388">
        <v>46113</v>
      </c>
      <c r="D1420" s="389" t="s">
        <v>248</v>
      </c>
      <c r="E1420" s="484" t="s">
        <v>596</v>
      </c>
      <c r="F1420" s="491">
        <v>11465.7</v>
      </c>
      <c r="G1420" s="486" t="s">
        <v>2680</v>
      </c>
      <c r="H1420" s="389" t="s">
        <v>737</v>
      </c>
      <c r="I1420" s="484" t="s">
        <v>1040</v>
      </c>
      <c r="J1420" s="487" t="s">
        <v>1041</v>
      </c>
      <c r="K1420" s="390" t="str">
        <f t="shared" si="75"/>
        <v>XXX820800001XX</v>
      </c>
      <c r="L1420" s="391"/>
      <c r="M1420" s="484" t="s">
        <v>707</v>
      </c>
      <c r="N1420" s="487">
        <v>16</v>
      </c>
      <c r="O1420" s="487" t="s">
        <v>2089</v>
      </c>
      <c r="P1420" s="398" t="s">
        <v>868</v>
      </c>
    </row>
    <row r="1421" spans="1:16" s="401" customFormat="1" ht="61.5" customHeight="1">
      <c r="A1421" s="429">
        <f t="shared" si="76"/>
        <v>1418</v>
      </c>
      <c r="B1421" s="387">
        <v>46146</v>
      </c>
      <c r="C1421" s="388">
        <v>46113</v>
      </c>
      <c r="D1421" s="389" t="s">
        <v>248</v>
      </c>
      <c r="E1421" s="59" t="s">
        <v>170</v>
      </c>
      <c r="F1421" s="491">
        <v>19.899999999999999</v>
      </c>
      <c r="G1421" s="486" t="s">
        <v>2681</v>
      </c>
      <c r="H1421" s="392" t="s">
        <v>278</v>
      </c>
      <c r="I1421" s="484" t="s">
        <v>616</v>
      </c>
      <c r="J1421" s="487" t="s">
        <v>617</v>
      </c>
      <c r="K1421" s="390" t="str">
        <f t="shared" si="75"/>
        <v>XXX239040003XX</v>
      </c>
      <c r="L1421" s="391"/>
      <c r="M1421" s="484" t="s">
        <v>704</v>
      </c>
      <c r="N1421" s="487">
        <v>6303</v>
      </c>
      <c r="O1421" s="487" t="s">
        <v>2091</v>
      </c>
      <c r="P1421" s="398" t="s">
        <v>574</v>
      </c>
    </row>
    <row r="1422" spans="1:16" s="401" customFormat="1" ht="36">
      <c r="A1422" s="429">
        <f t="shared" si="76"/>
        <v>1419</v>
      </c>
      <c r="B1422" s="387">
        <v>46146</v>
      </c>
      <c r="C1422" s="388">
        <v>46113</v>
      </c>
      <c r="D1422" s="389" t="s">
        <v>248</v>
      </c>
      <c r="E1422" s="484" t="s">
        <v>588</v>
      </c>
      <c r="F1422" s="491">
        <v>1563.04</v>
      </c>
      <c r="G1422" s="486" t="s">
        <v>2682</v>
      </c>
      <c r="H1422" s="389" t="s">
        <v>278</v>
      </c>
      <c r="I1422" s="484" t="s">
        <v>630</v>
      </c>
      <c r="J1422" s="487" t="s">
        <v>631</v>
      </c>
      <c r="K1422" s="390" t="str">
        <f t="shared" si="75"/>
        <v>XXX956460001XX</v>
      </c>
      <c r="L1422" s="391"/>
      <c r="M1422" s="484" t="s">
        <v>704</v>
      </c>
      <c r="N1422" s="487">
        <v>45111</v>
      </c>
      <c r="O1422" s="487" t="s">
        <v>2089</v>
      </c>
      <c r="P1422" s="398" t="s">
        <v>574</v>
      </c>
    </row>
    <row r="1423" spans="1:16" s="401" customFormat="1" ht="36">
      <c r="A1423" s="429">
        <f t="shared" si="76"/>
        <v>1420</v>
      </c>
      <c r="B1423" s="387">
        <v>46146</v>
      </c>
      <c r="C1423" s="388">
        <v>46113</v>
      </c>
      <c r="D1423" s="389" t="s">
        <v>248</v>
      </c>
      <c r="E1423" s="484" t="s">
        <v>592</v>
      </c>
      <c r="F1423" s="491">
        <v>287.12</v>
      </c>
      <c r="G1423" s="486" t="s">
        <v>2683</v>
      </c>
      <c r="H1423" s="389" t="s">
        <v>278</v>
      </c>
      <c r="I1423" s="484" t="s">
        <v>1042</v>
      </c>
      <c r="J1423" s="487" t="s">
        <v>1043</v>
      </c>
      <c r="K1423" s="390" t="str">
        <f t="shared" si="75"/>
        <v>XXX881150001XX</v>
      </c>
      <c r="L1423" s="391"/>
      <c r="M1423" s="484" t="s">
        <v>708</v>
      </c>
      <c r="N1423" s="487">
        <v>399</v>
      </c>
      <c r="O1423" s="487" t="s">
        <v>2095</v>
      </c>
      <c r="P1423" s="398" t="s">
        <v>574</v>
      </c>
    </row>
    <row r="1424" spans="1:16" s="401" customFormat="1" ht="84">
      <c r="A1424" s="429">
        <f t="shared" si="76"/>
        <v>1421</v>
      </c>
      <c r="B1424" s="387">
        <v>46146</v>
      </c>
      <c r="C1424" s="388">
        <v>46113</v>
      </c>
      <c r="D1424" s="389" t="s">
        <v>248</v>
      </c>
      <c r="E1424" s="484" t="s">
        <v>1213</v>
      </c>
      <c r="F1424" s="491">
        <v>8550</v>
      </c>
      <c r="G1424" s="486" t="s">
        <v>2684</v>
      </c>
      <c r="H1424" s="392" t="s">
        <v>278</v>
      </c>
      <c r="I1424" s="484" t="s">
        <v>1105</v>
      </c>
      <c r="J1424" s="487" t="s">
        <v>1106</v>
      </c>
      <c r="K1424" s="390" t="str">
        <f t="shared" si="75"/>
        <v>XXX048080001XX</v>
      </c>
      <c r="L1424" s="391"/>
      <c r="M1424" s="484" t="s">
        <v>704</v>
      </c>
      <c r="N1424" s="487">
        <v>43</v>
      </c>
      <c r="O1424" s="487" t="s">
        <v>2096</v>
      </c>
      <c r="P1424" s="398" t="s">
        <v>868</v>
      </c>
    </row>
    <row r="1425" spans="1:16" s="401" customFormat="1" ht="36">
      <c r="A1425" s="429">
        <f t="shared" si="76"/>
        <v>1422</v>
      </c>
      <c r="B1425" s="387">
        <v>46146</v>
      </c>
      <c r="C1425" s="388">
        <v>46113</v>
      </c>
      <c r="D1425" s="389" t="s">
        <v>248</v>
      </c>
      <c r="E1425" s="484" t="s">
        <v>758</v>
      </c>
      <c r="F1425" s="491">
        <v>3541.76</v>
      </c>
      <c r="G1425" s="486" t="s">
        <v>2685</v>
      </c>
      <c r="H1425" s="392" t="s">
        <v>738</v>
      </c>
      <c r="I1425" s="484" t="s">
        <v>1048</v>
      </c>
      <c r="J1425" s="487" t="s">
        <v>1049</v>
      </c>
      <c r="K1425" s="390" t="str">
        <f t="shared" si="75"/>
        <v>XXX832530001XX</v>
      </c>
      <c r="L1425" s="391"/>
      <c r="M1425" s="484" t="s">
        <v>704</v>
      </c>
      <c r="N1425" s="487">
        <v>446</v>
      </c>
      <c r="O1425" s="487" t="s">
        <v>2097</v>
      </c>
      <c r="P1425" s="398" t="s">
        <v>868</v>
      </c>
    </row>
    <row r="1426" spans="1:16" s="401" customFormat="1" ht="48">
      <c r="A1426" s="429">
        <f t="shared" si="76"/>
        <v>1423</v>
      </c>
      <c r="B1426" s="387">
        <v>46146</v>
      </c>
      <c r="C1426" s="388">
        <v>46113</v>
      </c>
      <c r="D1426" s="389" t="s">
        <v>248</v>
      </c>
      <c r="E1426" s="484" t="s">
        <v>608</v>
      </c>
      <c r="F1426" s="491">
        <v>8125</v>
      </c>
      <c r="G1426" s="486" t="s">
        <v>1582</v>
      </c>
      <c r="H1426" s="389" t="s">
        <v>1029</v>
      </c>
      <c r="I1426" s="484" t="s">
        <v>1429</v>
      </c>
      <c r="J1426" s="487" t="s">
        <v>1430</v>
      </c>
      <c r="K1426" s="390" t="str">
        <f t="shared" si="75"/>
        <v>XXX575760001XX</v>
      </c>
      <c r="L1426" s="391"/>
      <c r="M1426" s="484" t="s">
        <v>708</v>
      </c>
      <c r="N1426" s="487">
        <v>30</v>
      </c>
      <c r="O1426" s="487" t="s">
        <v>2119</v>
      </c>
      <c r="P1426" s="398" t="s">
        <v>574</v>
      </c>
    </row>
    <row r="1427" spans="1:16" s="401" customFormat="1" ht="60">
      <c r="A1427" s="429">
        <f t="shared" si="76"/>
        <v>1424</v>
      </c>
      <c r="B1427" s="387">
        <v>46146</v>
      </c>
      <c r="C1427" s="388">
        <v>46113</v>
      </c>
      <c r="D1427" s="389" t="s">
        <v>248</v>
      </c>
      <c r="E1427" s="484" t="s">
        <v>582</v>
      </c>
      <c r="F1427" s="491">
        <v>11.57</v>
      </c>
      <c r="G1427" s="486" t="s">
        <v>2303</v>
      </c>
      <c r="H1427" s="389" t="s">
        <v>737</v>
      </c>
      <c r="I1427" s="484" t="s">
        <v>614</v>
      </c>
      <c r="J1427" s="487" t="s">
        <v>615</v>
      </c>
      <c r="K1427" s="390" t="str">
        <f t="shared" si="75"/>
        <v>XXX470160001XX</v>
      </c>
      <c r="L1427" s="391"/>
      <c r="M1427" s="484" t="s">
        <v>704</v>
      </c>
      <c r="N1427" s="487">
        <v>242744</v>
      </c>
      <c r="O1427" s="487" t="s">
        <v>2097</v>
      </c>
      <c r="P1427" s="398" t="s">
        <v>574</v>
      </c>
    </row>
    <row r="1428" spans="1:16" s="401" customFormat="1" ht="60">
      <c r="A1428" s="429">
        <f t="shared" si="76"/>
        <v>1425</v>
      </c>
      <c r="B1428" s="387">
        <v>46146</v>
      </c>
      <c r="C1428" s="388">
        <v>46113</v>
      </c>
      <c r="D1428" s="389" t="s">
        <v>248</v>
      </c>
      <c r="E1428" s="484" t="s">
        <v>582</v>
      </c>
      <c r="F1428" s="491">
        <v>11.62</v>
      </c>
      <c r="G1428" s="486" t="s">
        <v>2303</v>
      </c>
      <c r="H1428" s="389" t="s">
        <v>737</v>
      </c>
      <c r="I1428" s="484" t="s">
        <v>614</v>
      </c>
      <c r="J1428" s="487" t="s">
        <v>615</v>
      </c>
      <c r="K1428" s="390" t="str">
        <f t="shared" si="75"/>
        <v>XXX470160001XX</v>
      </c>
      <c r="L1428" s="391"/>
      <c r="M1428" s="484" t="s">
        <v>704</v>
      </c>
      <c r="N1428" s="487">
        <v>371271</v>
      </c>
      <c r="O1428" s="487" t="s">
        <v>2097</v>
      </c>
      <c r="P1428" s="398" t="s">
        <v>574</v>
      </c>
    </row>
    <row r="1429" spans="1:16" s="401" customFormat="1" ht="60">
      <c r="A1429" s="429">
        <f t="shared" si="76"/>
        <v>1426</v>
      </c>
      <c r="B1429" s="387">
        <v>46146</v>
      </c>
      <c r="C1429" s="388">
        <v>46113</v>
      </c>
      <c r="D1429" s="389" t="s">
        <v>248</v>
      </c>
      <c r="E1429" s="484" t="s">
        <v>582</v>
      </c>
      <c r="F1429" s="491">
        <v>14.91</v>
      </c>
      <c r="G1429" s="486" t="s">
        <v>2303</v>
      </c>
      <c r="H1429" s="389" t="s">
        <v>737</v>
      </c>
      <c r="I1429" s="484" t="s">
        <v>614</v>
      </c>
      <c r="J1429" s="487" t="s">
        <v>615</v>
      </c>
      <c r="K1429" s="390" t="str">
        <f t="shared" si="75"/>
        <v>XXX470160001XX</v>
      </c>
      <c r="L1429" s="391"/>
      <c r="M1429" s="484" t="s">
        <v>704</v>
      </c>
      <c r="N1429" s="487">
        <v>194584</v>
      </c>
      <c r="O1429" s="487" t="s">
        <v>2097</v>
      </c>
      <c r="P1429" s="398" t="s">
        <v>574</v>
      </c>
    </row>
    <row r="1430" spans="1:16" s="401" customFormat="1" ht="60">
      <c r="A1430" s="429">
        <f t="shared" si="76"/>
        <v>1427</v>
      </c>
      <c r="B1430" s="387">
        <v>46146</v>
      </c>
      <c r="C1430" s="388">
        <v>46113</v>
      </c>
      <c r="D1430" s="389" t="s">
        <v>248</v>
      </c>
      <c r="E1430" s="484" t="s">
        <v>582</v>
      </c>
      <c r="F1430" s="491">
        <v>17.09</v>
      </c>
      <c r="G1430" s="486" t="s">
        <v>2303</v>
      </c>
      <c r="H1430" s="389" t="s">
        <v>737</v>
      </c>
      <c r="I1430" s="484" t="s">
        <v>614</v>
      </c>
      <c r="J1430" s="487" t="s">
        <v>615</v>
      </c>
      <c r="K1430" s="390" t="str">
        <f t="shared" si="75"/>
        <v>XXX470160001XX</v>
      </c>
      <c r="L1430" s="391"/>
      <c r="M1430" s="484" t="s">
        <v>704</v>
      </c>
      <c r="N1430" s="487">
        <v>319157</v>
      </c>
      <c r="O1430" s="487" t="s">
        <v>2097</v>
      </c>
      <c r="P1430" s="398" t="s">
        <v>574</v>
      </c>
    </row>
    <row r="1431" spans="1:16" s="401" customFormat="1" ht="60">
      <c r="A1431" s="429">
        <f t="shared" si="76"/>
        <v>1428</v>
      </c>
      <c r="B1431" s="387">
        <v>46146</v>
      </c>
      <c r="C1431" s="388">
        <v>46113</v>
      </c>
      <c r="D1431" s="389" t="s">
        <v>248</v>
      </c>
      <c r="E1431" s="484" t="s">
        <v>582</v>
      </c>
      <c r="F1431" s="491">
        <v>26.3</v>
      </c>
      <c r="G1431" s="486" t="s">
        <v>2303</v>
      </c>
      <c r="H1431" s="389" t="s">
        <v>737</v>
      </c>
      <c r="I1431" s="484" t="s">
        <v>614</v>
      </c>
      <c r="J1431" s="487" t="s">
        <v>615</v>
      </c>
      <c r="K1431" s="390" t="str">
        <f t="shared" si="75"/>
        <v>XXX470160001XX</v>
      </c>
      <c r="L1431" s="391"/>
      <c r="M1431" s="484" t="s">
        <v>704</v>
      </c>
      <c r="N1431" s="487">
        <v>15042026</v>
      </c>
      <c r="O1431" s="487" t="s">
        <v>2098</v>
      </c>
      <c r="P1431" s="398" t="s">
        <v>574</v>
      </c>
    </row>
    <row r="1432" spans="1:16" s="401" customFormat="1" ht="60">
      <c r="A1432" s="429">
        <f t="shared" si="76"/>
        <v>1429</v>
      </c>
      <c r="B1432" s="387">
        <v>46146</v>
      </c>
      <c r="C1432" s="388">
        <v>46113</v>
      </c>
      <c r="D1432" s="389" t="s">
        <v>248</v>
      </c>
      <c r="E1432" s="484" t="s">
        <v>582</v>
      </c>
      <c r="F1432" s="491">
        <v>36.479999999999997</v>
      </c>
      <c r="G1432" s="486" t="s">
        <v>2303</v>
      </c>
      <c r="H1432" s="389" t="s">
        <v>737</v>
      </c>
      <c r="I1432" s="484" t="s">
        <v>614</v>
      </c>
      <c r="J1432" s="487" t="s">
        <v>615</v>
      </c>
      <c r="K1432" s="390" t="str">
        <f t="shared" si="75"/>
        <v>XXX470160001XX</v>
      </c>
      <c r="L1432" s="391"/>
      <c r="M1432" s="484" t="s">
        <v>704</v>
      </c>
      <c r="N1432" s="487">
        <v>467427</v>
      </c>
      <c r="O1432" s="487" t="s">
        <v>2100</v>
      </c>
      <c r="P1432" s="398" t="s">
        <v>574</v>
      </c>
    </row>
    <row r="1433" spans="1:16" s="401" customFormat="1" ht="60">
      <c r="A1433" s="429">
        <f t="shared" si="76"/>
        <v>1430</v>
      </c>
      <c r="B1433" s="387">
        <v>46146</v>
      </c>
      <c r="C1433" s="388">
        <v>46113</v>
      </c>
      <c r="D1433" s="389" t="s">
        <v>248</v>
      </c>
      <c r="E1433" s="484" t="s">
        <v>582</v>
      </c>
      <c r="F1433" s="491">
        <v>30.91</v>
      </c>
      <c r="G1433" s="486" t="s">
        <v>2303</v>
      </c>
      <c r="H1433" s="389" t="s">
        <v>737</v>
      </c>
      <c r="I1433" s="484" t="s">
        <v>614</v>
      </c>
      <c r="J1433" s="487" t="s">
        <v>615</v>
      </c>
      <c r="K1433" s="390" t="str">
        <f t="shared" si="75"/>
        <v>XXX470160001XX</v>
      </c>
      <c r="L1433" s="403"/>
      <c r="M1433" s="484" t="s">
        <v>704</v>
      </c>
      <c r="N1433" s="487">
        <v>894069</v>
      </c>
      <c r="O1433" s="487" t="s">
        <v>2099</v>
      </c>
      <c r="P1433" s="398" t="s">
        <v>574</v>
      </c>
    </row>
    <row r="1434" spans="1:16" s="401" customFormat="1" ht="60">
      <c r="A1434" s="429">
        <f t="shared" si="76"/>
        <v>1431</v>
      </c>
      <c r="B1434" s="387">
        <v>46146</v>
      </c>
      <c r="C1434" s="388">
        <v>46113</v>
      </c>
      <c r="D1434" s="389" t="s">
        <v>248</v>
      </c>
      <c r="E1434" s="484" t="s">
        <v>582</v>
      </c>
      <c r="F1434" s="491">
        <v>26.18</v>
      </c>
      <c r="G1434" s="486" t="s">
        <v>2303</v>
      </c>
      <c r="H1434" s="389" t="s">
        <v>737</v>
      </c>
      <c r="I1434" s="484" t="s">
        <v>614</v>
      </c>
      <c r="J1434" s="487" t="s">
        <v>615</v>
      </c>
      <c r="K1434" s="390" t="str">
        <f t="shared" si="75"/>
        <v>XXX470160001XX</v>
      </c>
      <c r="L1434" s="403"/>
      <c r="M1434" s="484" t="s">
        <v>704</v>
      </c>
      <c r="N1434" s="487">
        <v>827659</v>
      </c>
      <c r="O1434" s="487" t="s">
        <v>2099</v>
      </c>
      <c r="P1434" s="398" t="s">
        <v>574</v>
      </c>
    </row>
    <row r="1435" spans="1:16" s="401" customFormat="1" ht="48">
      <c r="A1435" s="429">
        <f t="shared" si="76"/>
        <v>1432</v>
      </c>
      <c r="B1435" s="387">
        <v>46146</v>
      </c>
      <c r="C1435" s="388">
        <v>46113</v>
      </c>
      <c r="D1435" s="389" t="s">
        <v>248</v>
      </c>
      <c r="E1435" s="484" t="s">
        <v>607</v>
      </c>
      <c r="F1435" s="491">
        <v>234</v>
      </c>
      <c r="G1435" s="486" t="s">
        <v>2686</v>
      </c>
      <c r="H1435" s="389" t="s">
        <v>278</v>
      </c>
      <c r="I1435" s="484" t="s">
        <v>1137</v>
      </c>
      <c r="J1435" s="487" t="s">
        <v>1138</v>
      </c>
      <c r="K1435" s="390" t="str">
        <f t="shared" si="75"/>
        <v>XXX46478649 XX</v>
      </c>
      <c r="L1435" s="403"/>
      <c r="M1435" s="484" t="s">
        <v>708</v>
      </c>
      <c r="N1435" s="487">
        <v>75418</v>
      </c>
      <c r="O1435" s="487" t="s">
        <v>2104</v>
      </c>
      <c r="P1435" s="398" t="s">
        <v>574</v>
      </c>
    </row>
    <row r="1436" spans="1:16" s="401" customFormat="1" ht="48">
      <c r="A1436" s="429">
        <f t="shared" si="76"/>
        <v>1433</v>
      </c>
      <c r="B1436" s="387">
        <v>46146</v>
      </c>
      <c r="C1436" s="388">
        <v>46143</v>
      </c>
      <c r="D1436" s="389" t="s">
        <v>248</v>
      </c>
      <c r="E1436" s="60" t="s">
        <v>505</v>
      </c>
      <c r="F1436" s="491">
        <v>32.700000000000003</v>
      </c>
      <c r="G1436" s="486" t="s">
        <v>2687</v>
      </c>
      <c r="H1436" s="389" t="s">
        <v>278</v>
      </c>
      <c r="I1436" s="484" t="s">
        <v>2977</v>
      </c>
      <c r="J1436" s="487" t="s">
        <v>2978</v>
      </c>
      <c r="K1436" s="390" t="str">
        <f t="shared" si="75"/>
        <v>43.283.811/0034-18</v>
      </c>
      <c r="L1436" s="403"/>
      <c r="M1436" s="484" t="s">
        <v>710</v>
      </c>
      <c r="N1436" s="487">
        <v>420380</v>
      </c>
      <c r="O1436" s="487" t="s">
        <v>2118</v>
      </c>
      <c r="P1436" s="391" t="s">
        <v>2525</v>
      </c>
    </row>
    <row r="1437" spans="1:16" s="401" customFormat="1" ht="48">
      <c r="A1437" s="429">
        <f t="shared" si="76"/>
        <v>1434</v>
      </c>
      <c r="B1437" s="387">
        <v>46146</v>
      </c>
      <c r="C1437" s="388">
        <v>46113</v>
      </c>
      <c r="D1437" s="389" t="s">
        <v>248</v>
      </c>
      <c r="E1437" s="484" t="s">
        <v>590</v>
      </c>
      <c r="F1437" s="491">
        <v>342.86</v>
      </c>
      <c r="G1437" s="486" t="s">
        <v>2688</v>
      </c>
      <c r="H1437" s="389" t="s">
        <v>736</v>
      </c>
      <c r="I1437" s="484" t="s">
        <v>624</v>
      </c>
      <c r="J1437" s="487" t="s">
        <v>625</v>
      </c>
      <c r="K1437" s="394" t="s">
        <v>280</v>
      </c>
      <c r="L1437" s="403"/>
      <c r="M1437" s="484" t="s">
        <v>709</v>
      </c>
      <c r="N1437" s="487">
        <v>2753076</v>
      </c>
      <c r="O1437" s="487" t="s">
        <v>2091</v>
      </c>
      <c r="P1437" s="398" t="s">
        <v>574</v>
      </c>
    </row>
    <row r="1438" spans="1:16" s="401" customFormat="1" ht="48">
      <c r="A1438" s="429">
        <f t="shared" si="76"/>
        <v>1435</v>
      </c>
      <c r="B1438" s="387">
        <v>46146</v>
      </c>
      <c r="C1438" s="388">
        <v>46113</v>
      </c>
      <c r="D1438" s="389" t="s">
        <v>248</v>
      </c>
      <c r="E1438" s="484" t="s">
        <v>590</v>
      </c>
      <c r="F1438" s="491">
        <v>9796.59</v>
      </c>
      <c r="G1438" s="486" t="s">
        <v>2688</v>
      </c>
      <c r="H1438" s="389" t="s">
        <v>736</v>
      </c>
      <c r="I1438" s="484" t="s">
        <v>2554</v>
      </c>
      <c r="J1438" s="487" t="s">
        <v>773</v>
      </c>
      <c r="K1438" s="390" t="str">
        <f t="shared" si="75"/>
        <v>XXX000000000XX</v>
      </c>
      <c r="L1438" s="403"/>
      <c r="M1438" s="484" t="s">
        <v>704</v>
      </c>
      <c r="N1438" s="487">
        <v>2753076</v>
      </c>
      <c r="O1438" s="487" t="s">
        <v>2091</v>
      </c>
      <c r="P1438" s="398" t="s">
        <v>574</v>
      </c>
    </row>
    <row r="1439" spans="1:16" s="401" customFormat="1" ht="60">
      <c r="A1439" s="429">
        <f t="shared" si="76"/>
        <v>1436</v>
      </c>
      <c r="B1439" s="387">
        <v>46146</v>
      </c>
      <c r="C1439" s="388">
        <v>46113</v>
      </c>
      <c r="D1439" s="389" t="s">
        <v>248</v>
      </c>
      <c r="E1439" s="484" t="s">
        <v>582</v>
      </c>
      <c r="F1439" s="491">
        <v>1375.64</v>
      </c>
      <c r="G1439" s="486" t="s">
        <v>2303</v>
      </c>
      <c r="H1439" s="389" t="s">
        <v>737</v>
      </c>
      <c r="I1439" s="484" t="s">
        <v>614</v>
      </c>
      <c r="J1439" s="487" t="s">
        <v>615</v>
      </c>
      <c r="K1439" s="390" t="str">
        <f t="shared" ref="K1439:K1453" si="77">IF(J1439="","",IF(LEN(J1439)&gt;14,IF(ISBLANK(J1439),"",J1439),REPLACE(REPLACE(J1439,1,3,"XXX"),13,2,"XX")))</f>
        <v>XXX470160001XX</v>
      </c>
      <c r="L1439" s="403"/>
      <c r="M1439" s="484" t="s">
        <v>704</v>
      </c>
      <c r="N1439" s="487">
        <v>132589388</v>
      </c>
      <c r="O1439" s="487" t="s">
        <v>2090</v>
      </c>
      <c r="P1439" s="398" t="s">
        <v>574</v>
      </c>
    </row>
    <row r="1440" spans="1:16" s="401" customFormat="1" ht="36">
      <c r="A1440" s="429">
        <f t="shared" si="76"/>
        <v>1437</v>
      </c>
      <c r="B1440" s="387">
        <v>46147</v>
      </c>
      <c r="C1440" s="388">
        <v>46113</v>
      </c>
      <c r="D1440" s="389" t="s">
        <v>166</v>
      </c>
      <c r="E1440" s="484" t="s">
        <v>581</v>
      </c>
      <c r="F1440" s="491">
        <v>672.13</v>
      </c>
      <c r="G1440" s="486" t="s">
        <v>2689</v>
      </c>
      <c r="H1440" s="389" t="s">
        <v>166</v>
      </c>
      <c r="I1440" s="484" t="s">
        <v>611</v>
      </c>
      <c r="J1440" s="487" t="s">
        <v>612</v>
      </c>
      <c r="K1440" s="390" t="str">
        <f t="shared" si="77"/>
        <v>XXX312660001XX</v>
      </c>
      <c r="L1440" s="403"/>
      <c r="M1440" s="484" t="s">
        <v>704</v>
      </c>
      <c r="N1440" s="487">
        <v>15317</v>
      </c>
      <c r="O1440" s="487" t="s">
        <v>2100</v>
      </c>
      <c r="P1440" s="398" t="s">
        <v>574</v>
      </c>
    </row>
    <row r="1441" spans="1:16" s="401" customFormat="1" ht="36">
      <c r="A1441" s="429">
        <f t="shared" si="76"/>
        <v>1438</v>
      </c>
      <c r="B1441" s="387">
        <v>46147</v>
      </c>
      <c r="C1441" s="388">
        <v>46113</v>
      </c>
      <c r="D1441" s="389" t="s">
        <v>166</v>
      </c>
      <c r="E1441" s="484" t="s">
        <v>581</v>
      </c>
      <c r="F1441" s="491">
        <v>588.04</v>
      </c>
      <c r="G1441" s="486" t="s">
        <v>2690</v>
      </c>
      <c r="H1441" s="389" t="s">
        <v>166</v>
      </c>
      <c r="I1441" s="484" t="s">
        <v>1452</v>
      </c>
      <c r="J1441" s="487" t="s">
        <v>1453</v>
      </c>
      <c r="K1441" s="390" t="str">
        <f t="shared" si="77"/>
        <v>XXX533050001XX</v>
      </c>
      <c r="L1441" s="403"/>
      <c r="M1441" s="484" t="s">
        <v>704</v>
      </c>
      <c r="N1441" s="487">
        <v>7136</v>
      </c>
      <c r="O1441" s="487" t="s">
        <v>2098</v>
      </c>
      <c r="P1441" s="398" t="s">
        <v>574</v>
      </c>
    </row>
    <row r="1442" spans="1:16" s="401" customFormat="1" ht="36">
      <c r="A1442" s="429">
        <f t="shared" si="76"/>
        <v>1439</v>
      </c>
      <c r="B1442" s="387">
        <v>46148</v>
      </c>
      <c r="C1442" s="388">
        <v>46113</v>
      </c>
      <c r="D1442" s="389" t="s">
        <v>353</v>
      </c>
      <c r="E1442" s="39" t="s">
        <v>153</v>
      </c>
      <c r="F1442" s="491">
        <v>70210.83</v>
      </c>
      <c r="G1442" s="486" t="s">
        <v>2691</v>
      </c>
      <c r="H1442" s="389" t="s">
        <v>280</v>
      </c>
      <c r="I1442" s="394" t="s">
        <v>744</v>
      </c>
      <c r="J1442" s="455">
        <v>7837375000150</v>
      </c>
      <c r="K1442" s="390" t="str">
        <f t="shared" si="77"/>
        <v>XXX737500015XX</v>
      </c>
      <c r="L1442" s="403"/>
      <c r="M1442" s="484" t="s">
        <v>707</v>
      </c>
      <c r="N1442" s="487">
        <v>75724</v>
      </c>
      <c r="O1442" s="487" t="s">
        <v>2107</v>
      </c>
      <c r="P1442" s="398" t="s">
        <v>574</v>
      </c>
    </row>
    <row r="1443" spans="1:16" s="401" customFormat="1" ht="36">
      <c r="A1443" s="429">
        <f t="shared" si="76"/>
        <v>1440</v>
      </c>
      <c r="B1443" s="387">
        <v>46148</v>
      </c>
      <c r="C1443" s="388">
        <v>46113</v>
      </c>
      <c r="D1443" s="389" t="s">
        <v>166</v>
      </c>
      <c r="E1443" s="484" t="s">
        <v>1210</v>
      </c>
      <c r="F1443" s="491">
        <v>1501.5</v>
      </c>
      <c r="G1443" s="486" t="s">
        <v>2692</v>
      </c>
      <c r="H1443" s="389" t="s">
        <v>166</v>
      </c>
      <c r="I1443" s="484" t="s">
        <v>1439</v>
      </c>
      <c r="J1443" s="487" t="s">
        <v>770</v>
      </c>
      <c r="K1443" s="390" t="str">
        <f t="shared" si="77"/>
        <v>XXX00000000 XX</v>
      </c>
      <c r="L1443" s="403"/>
      <c r="M1443" s="484" t="s">
        <v>708</v>
      </c>
      <c r="N1443" s="487">
        <v>536</v>
      </c>
      <c r="O1443" s="487" t="s">
        <v>2089</v>
      </c>
      <c r="P1443" s="398" t="s">
        <v>572</v>
      </c>
    </row>
    <row r="1444" spans="1:16" s="401" customFormat="1" ht="36">
      <c r="A1444" s="429">
        <f t="shared" si="76"/>
        <v>1441</v>
      </c>
      <c r="B1444" s="387">
        <v>46148</v>
      </c>
      <c r="C1444" s="388">
        <v>46113</v>
      </c>
      <c r="D1444" s="389" t="s">
        <v>166</v>
      </c>
      <c r="E1444" s="484" t="s">
        <v>1210</v>
      </c>
      <c r="F1444" s="491">
        <v>1562.58</v>
      </c>
      <c r="G1444" s="486" t="s">
        <v>2692</v>
      </c>
      <c r="H1444" s="389" t="s">
        <v>166</v>
      </c>
      <c r="I1444" s="484" t="s">
        <v>1444</v>
      </c>
      <c r="J1444" s="487" t="s">
        <v>1445</v>
      </c>
      <c r="K1444" s="390" t="str">
        <f t="shared" si="77"/>
        <v>XXX47236680 XX</v>
      </c>
      <c r="L1444" s="403"/>
      <c r="M1444" s="484" t="s">
        <v>708</v>
      </c>
      <c r="N1444" s="487">
        <v>536</v>
      </c>
      <c r="O1444" s="487" t="s">
        <v>2089</v>
      </c>
      <c r="P1444" s="398" t="s">
        <v>572</v>
      </c>
    </row>
    <row r="1445" spans="1:16" s="401" customFormat="1" ht="36">
      <c r="A1445" s="429">
        <f t="shared" si="76"/>
        <v>1442</v>
      </c>
      <c r="B1445" s="387">
        <v>46148</v>
      </c>
      <c r="C1445" s="388">
        <v>46113</v>
      </c>
      <c r="D1445" s="389" t="s">
        <v>166</v>
      </c>
      <c r="E1445" s="484" t="s">
        <v>1210</v>
      </c>
      <c r="F1445" s="491">
        <v>4017.97</v>
      </c>
      <c r="G1445" s="486" t="s">
        <v>2692</v>
      </c>
      <c r="H1445" s="389" t="s">
        <v>166</v>
      </c>
      <c r="I1445" s="484" t="s">
        <v>1446</v>
      </c>
      <c r="J1445" s="487" t="s">
        <v>1447</v>
      </c>
      <c r="K1445" s="390" t="str">
        <f t="shared" si="77"/>
        <v>XXX65233674 XX</v>
      </c>
      <c r="L1445" s="391"/>
      <c r="M1445" s="484" t="s">
        <v>708</v>
      </c>
      <c r="N1445" s="487">
        <v>536</v>
      </c>
      <c r="O1445" s="487" t="s">
        <v>2089</v>
      </c>
      <c r="P1445" s="398" t="s">
        <v>572</v>
      </c>
    </row>
    <row r="1446" spans="1:16" s="401" customFormat="1" ht="36">
      <c r="A1446" s="429">
        <f t="shared" si="76"/>
        <v>1443</v>
      </c>
      <c r="B1446" s="387">
        <v>46148</v>
      </c>
      <c r="C1446" s="388">
        <v>46113</v>
      </c>
      <c r="D1446" s="389" t="s">
        <v>166</v>
      </c>
      <c r="E1446" s="484" t="s">
        <v>1210</v>
      </c>
      <c r="F1446" s="491">
        <v>2604.31</v>
      </c>
      <c r="G1446" s="486" t="s">
        <v>2692</v>
      </c>
      <c r="H1446" s="389" t="s">
        <v>166</v>
      </c>
      <c r="I1446" s="484" t="s">
        <v>1437</v>
      </c>
      <c r="J1446" s="487" t="s">
        <v>1438</v>
      </c>
      <c r="K1446" s="390" t="str">
        <f t="shared" si="77"/>
        <v>XXX64835690 XX</v>
      </c>
      <c r="L1446" s="403"/>
      <c r="M1446" s="484" t="s">
        <v>708</v>
      </c>
      <c r="N1446" s="487">
        <v>536</v>
      </c>
      <c r="O1446" s="487" t="s">
        <v>2089</v>
      </c>
      <c r="P1446" s="398" t="s">
        <v>572</v>
      </c>
    </row>
    <row r="1447" spans="1:16" s="401" customFormat="1" ht="36">
      <c r="A1447" s="429">
        <f t="shared" si="76"/>
        <v>1444</v>
      </c>
      <c r="B1447" s="387">
        <v>46148</v>
      </c>
      <c r="C1447" s="388">
        <v>46113</v>
      </c>
      <c r="D1447" s="389" t="s">
        <v>166</v>
      </c>
      <c r="E1447" s="484" t="s">
        <v>1210</v>
      </c>
      <c r="F1447" s="491">
        <v>1214.1199999999999</v>
      </c>
      <c r="G1447" s="486" t="s">
        <v>2692</v>
      </c>
      <c r="H1447" s="389" t="s">
        <v>166</v>
      </c>
      <c r="I1447" s="484" t="s">
        <v>1448</v>
      </c>
      <c r="J1447" s="487" t="s">
        <v>1449</v>
      </c>
      <c r="K1447" s="390" t="str">
        <f t="shared" si="77"/>
        <v>XXX07044800 XX</v>
      </c>
      <c r="L1447" s="391"/>
      <c r="M1447" s="484" t="s">
        <v>708</v>
      </c>
      <c r="N1447" s="487">
        <v>536</v>
      </c>
      <c r="O1447" s="487" t="s">
        <v>2089</v>
      </c>
      <c r="P1447" s="398" t="s">
        <v>572</v>
      </c>
    </row>
    <row r="1448" spans="1:16" s="401" customFormat="1" ht="36">
      <c r="A1448" s="429">
        <f t="shared" si="76"/>
        <v>1445</v>
      </c>
      <c r="B1448" s="387">
        <v>46148</v>
      </c>
      <c r="C1448" s="388">
        <v>46113</v>
      </c>
      <c r="D1448" s="389" t="s">
        <v>166</v>
      </c>
      <c r="E1448" s="484" t="s">
        <v>1210</v>
      </c>
      <c r="F1448" s="491">
        <v>486.3</v>
      </c>
      <c r="G1448" s="486" t="s">
        <v>2692</v>
      </c>
      <c r="H1448" s="389" t="s">
        <v>166</v>
      </c>
      <c r="I1448" s="484" t="s">
        <v>1435</v>
      </c>
      <c r="J1448" s="487" t="s">
        <v>1436</v>
      </c>
      <c r="K1448" s="390" t="str">
        <f t="shared" si="77"/>
        <v>XXX06833670 XX</v>
      </c>
      <c r="L1448" s="391"/>
      <c r="M1448" s="484" t="s">
        <v>708</v>
      </c>
      <c r="N1448" s="487">
        <v>536</v>
      </c>
      <c r="O1448" s="487" t="s">
        <v>2089</v>
      </c>
      <c r="P1448" s="398" t="s">
        <v>572</v>
      </c>
    </row>
    <row r="1449" spans="1:16" s="401" customFormat="1" ht="36">
      <c r="A1449" s="429">
        <f t="shared" si="76"/>
        <v>1446</v>
      </c>
      <c r="B1449" s="387">
        <v>46148</v>
      </c>
      <c r="C1449" s="388">
        <v>46113</v>
      </c>
      <c r="D1449" s="389" t="s">
        <v>166</v>
      </c>
      <c r="E1449" s="484" t="s">
        <v>1210</v>
      </c>
      <c r="F1449" s="491">
        <v>570.29999999999995</v>
      </c>
      <c r="G1449" s="486" t="s">
        <v>2692</v>
      </c>
      <c r="H1449" s="389" t="s">
        <v>166</v>
      </c>
      <c r="I1449" s="484" t="s">
        <v>1440</v>
      </c>
      <c r="J1449" s="487" t="s">
        <v>1441</v>
      </c>
      <c r="K1449" s="390" t="str">
        <f t="shared" si="77"/>
        <v>XXX85794725 XX</v>
      </c>
      <c r="L1449" s="391"/>
      <c r="M1449" s="484" t="s">
        <v>708</v>
      </c>
      <c r="N1449" s="487">
        <v>536</v>
      </c>
      <c r="O1449" s="487" t="s">
        <v>2089</v>
      </c>
      <c r="P1449" s="398" t="s">
        <v>572</v>
      </c>
    </row>
    <row r="1450" spans="1:16" s="401" customFormat="1" ht="36">
      <c r="A1450" s="429">
        <f t="shared" si="76"/>
        <v>1447</v>
      </c>
      <c r="B1450" s="387">
        <v>46148</v>
      </c>
      <c r="C1450" s="388">
        <v>46113</v>
      </c>
      <c r="D1450" s="389" t="s">
        <v>166</v>
      </c>
      <c r="E1450" s="484" t="s">
        <v>1210</v>
      </c>
      <c r="F1450" s="491">
        <v>575.66999999999996</v>
      </c>
      <c r="G1450" s="486" t="s">
        <v>2692</v>
      </c>
      <c r="H1450" s="389" t="s">
        <v>166</v>
      </c>
      <c r="I1450" s="484" t="s">
        <v>1442</v>
      </c>
      <c r="J1450" s="487" t="s">
        <v>1443</v>
      </c>
      <c r="K1450" s="390" t="str">
        <f t="shared" si="77"/>
        <v>XXX18926617 XX</v>
      </c>
      <c r="L1450" s="391"/>
      <c r="M1450" s="484" t="s">
        <v>708</v>
      </c>
      <c r="N1450" s="487">
        <v>536</v>
      </c>
      <c r="O1450" s="487" t="s">
        <v>2089</v>
      </c>
      <c r="P1450" s="398" t="s">
        <v>572</v>
      </c>
    </row>
    <row r="1451" spans="1:16" s="401" customFormat="1" ht="48">
      <c r="A1451" s="429">
        <f t="shared" si="76"/>
        <v>1448</v>
      </c>
      <c r="B1451" s="387">
        <v>46148</v>
      </c>
      <c r="C1451" s="388">
        <v>46113</v>
      </c>
      <c r="D1451" s="389" t="s">
        <v>166</v>
      </c>
      <c r="E1451" s="484" t="s">
        <v>1210</v>
      </c>
      <c r="F1451" s="491">
        <v>3240</v>
      </c>
      <c r="G1451" s="486" t="s">
        <v>2693</v>
      </c>
      <c r="H1451" s="389" t="s">
        <v>166</v>
      </c>
      <c r="I1451" s="484" t="s">
        <v>1056</v>
      </c>
      <c r="J1451" s="487" t="s">
        <v>1057</v>
      </c>
      <c r="K1451" s="390" t="str">
        <f t="shared" si="77"/>
        <v>XXX849360001XX</v>
      </c>
      <c r="L1451" s="391"/>
      <c r="M1451" s="484" t="s">
        <v>708</v>
      </c>
      <c r="N1451" s="487">
        <v>196</v>
      </c>
      <c r="O1451" s="487" t="s">
        <v>2089</v>
      </c>
      <c r="P1451" s="398" t="s">
        <v>572</v>
      </c>
    </row>
    <row r="1452" spans="1:16" s="401" customFormat="1" ht="36">
      <c r="A1452" s="429">
        <f t="shared" si="76"/>
        <v>1449</v>
      </c>
      <c r="B1452" s="387">
        <v>46148</v>
      </c>
      <c r="C1452" s="388">
        <v>46143</v>
      </c>
      <c r="D1452" s="389" t="s">
        <v>338</v>
      </c>
      <c r="E1452" s="484" t="s">
        <v>338</v>
      </c>
      <c r="F1452" s="491">
        <v>1842751</v>
      </c>
      <c r="G1452" s="486" t="s">
        <v>2694</v>
      </c>
      <c r="H1452" s="389" t="s">
        <v>280</v>
      </c>
      <c r="I1452" s="394" t="s">
        <v>744</v>
      </c>
      <c r="J1452" s="455">
        <v>7837375000150</v>
      </c>
      <c r="K1452" s="390" t="str">
        <f t="shared" si="77"/>
        <v>XXX737500015XX</v>
      </c>
      <c r="L1452" s="403"/>
      <c r="M1452" s="484" t="s">
        <v>707</v>
      </c>
      <c r="N1452" s="487">
        <v>52026</v>
      </c>
      <c r="O1452" s="487" t="s">
        <v>2546</v>
      </c>
      <c r="P1452" s="398" t="s">
        <v>572</v>
      </c>
    </row>
    <row r="1453" spans="1:16" s="401" customFormat="1" ht="36">
      <c r="A1453" s="429">
        <f t="shared" si="76"/>
        <v>1450</v>
      </c>
      <c r="B1453" s="387">
        <v>46148</v>
      </c>
      <c r="C1453" s="388">
        <v>46113</v>
      </c>
      <c r="D1453" s="389" t="s">
        <v>166</v>
      </c>
      <c r="E1453" s="484" t="s">
        <v>1210</v>
      </c>
      <c r="F1453" s="491">
        <v>1040758</v>
      </c>
      <c r="G1453" s="486" t="s">
        <v>2695</v>
      </c>
      <c r="H1453" s="389" t="s">
        <v>166</v>
      </c>
      <c r="I1453" s="484" t="s">
        <v>744</v>
      </c>
      <c r="J1453" s="487" t="s">
        <v>1058</v>
      </c>
      <c r="K1453" s="390" t="str">
        <f t="shared" si="77"/>
        <v>XXX373750001XX</v>
      </c>
      <c r="L1453" s="430"/>
      <c r="M1453" s="484" t="s">
        <v>708</v>
      </c>
      <c r="N1453" s="487">
        <v>196</v>
      </c>
      <c r="O1453" s="487" t="s">
        <v>2089</v>
      </c>
      <c r="P1453" s="398" t="s">
        <v>572</v>
      </c>
    </row>
    <row r="1454" spans="1:16" s="401" customFormat="1" ht="36">
      <c r="A1454" s="429">
        <f t="shared" si="76"/>
        <v>1451</v>
      </c>
      <c r="B1454" s="387">
        <v>46148</v>
      </c>
      <c r="C1454" s="388">
        <v>46113</v>
      </c>
      <c r="D1454" s="389" t="s">
        <v>166</v>
      </c>
      <c r="E1454" s="484" t="s">
        <v>1210</v>
      </c>
      <c r="F1454" s="491">
        <v>1621</v>
      </c>
      <c r="G1454" s="486" t="s">
        <v>2696</v>
      </c>
      <c r="H1454" s="389" t="s">
        <v>166</v>
      </c>
      <c r="I1454" s="484" t="s">
        <v>744</v>
      </c>
      <c r="J1454" s="487" t="s">
        <v>1058</v>
      </c>
      <c r="K1454" s="394" t="str">
        <f t="shared" ref="K1454" si="78">IF(J1454="","",IF(LEN(J1454)&gt;14,IF(ISBLANK(J1454),"",J1454),REPLACE(REPLACE(J1454,1,3,"XXX"),13,2,"XX")))</f>
        <v>XXX373750001XX</v>
      </c>
      <c r="L1454" s="391"/>
      <c r="M1454" s="484" t="s">
        <v>708</v>
      </c>
      <c r="N1454" s="487">
        <v>196</v>
      </c>
      <c r="O1454" s="487" t="s">
        <v>2089</v>
      </c>
      <c r="P1454" s="398" t="s">
        <v>572</v>
      </c>
    </row>
    <row r="1455" spans="1:16" s="401" customFormat="1" ht="36">
      <c r="A1455" s="429">
        <f t="shared" ref="A1455:A1508" si="79">IF(B1455="","",ROW()-ROW($A$3))</f>
        <v>1452</v>
      </c>
      <c r="B1455" s="387">
        <v>46148</v>
      </c>
      <c r="C1455" s="388">
        <v>46113</v>
      </c>
      <c r="D1455" s="389" t="s">
        <v>166</v>
      </c>
      <c r="E1455" s="484" t="s">
        <v>4</v>
      </c>
      <c r="F1455" s="491">
        <v>103751.36</v>
      </c>
      <c r="G1455" s="486" t="s">
        <v>2697</v>
      </c>
      <c r="H1455" s="389" t="s">
        <v>166</v>
      </c>
      <c r="I1455" s="484" t="s">
        <v>647</v>
      </c>
      <c r="J1455" s="487" t="s">
        <v>648</v>
      </c>
      <c r="K1455" s="394" t="str">
        <f t="shared" ref="K1455:K1471" si="80">IF(J1455="","",IF(LEN(J1455)&gt;14,IF(ISBLANK(J1455),"",J1455),REPLACE(REPLACE(J1455,1,3,"XXX"),13,2,"XX")))</f>
        <v>XXX603050001XX</v>
      </c>
      <c r="L1455" s="391"/>
      <c r="M1455" s="484" t="s">
        <v>718</v>
      </c>
      <c r="N1455" s="487">
        <v>1777</v>
      </c>
      <c r="O1455" s="487" t="s">
        <v>2089</v>
      </c>
      <c r="P1455" s="398" t="s">
        <v>572</v>
      </c>
    </row>
    <row r="1456" spans="1:16" s="401" customFormat="1" ht="36">
      <c r="A1456" s="429">
        <f t="shared" si="79"/>
        <v>1453</v>
      </c>
      <c r="B1456" s="387">
        <v>46148</v>
      </c>
      <c r="C1456" s="388">
        <v>46113</v>
      </c>
      <c r="D1456" s="389" t="s">
        <v>166</v>
      </c>
      <c r="E1456" s="484" t="s">
        <v>4</v>
      </c>
      <c r="F1456" s="491">
        <v>7238.56</v>
      </c>
      <c r="G1456" s="486" t="s">
        <v>2698</v>
      </c>
      <c r="H1456" s="389" t="s">
        <v>166</v>
      </c>
      <c r="I1456" s="484" t="s">
        <v>647</v>
      </c>
      <c r="J1456" s="487" t="s">
        <v>648</v>
      </c>
      <c r="K1456" s="390" t="str">
        <f t="shared" si="80"/>
        <v>XXX603050001XX</v>
      </c>
      <c r="L1456" s="403"/>
      <c r="M1456" s="484" t="s">
        <v>718</v>
      </c>
      <c r="N1456" s="487">
        <v>1777</v>
      </c>
      <c r="O1456" s="487" t="s">
        <v>2089</v>
      </c>
      <c r="P1456" s="398" t="s">
        <v>572</v>
      </c>
    </row>
    <row r="1457" spans="1:16" s="401" customFormat="1" ht="36">
      <c r="A1457" s="429">
        <f t="shared" si="79"/>
        <v>1454</v>
      </c>
      <c r="B1457" s="387">
        <v>46148</v>
      </c>
      <c r="C1457" s="388">
        <v>46113</v>
      </c>
      <c r="D1457" s="389" t="s">
        <v>248</v>
      </c>
      <c r="E1457" s="60" t="s">
        <v>454</v>
      </c>
      <c r="F1457" s="491">
        <v>1800</v>
      </c>
      <c r="G1457" s="486" t="s">
        <v>2699</v>
      </c>
      <c r="H1457" s="389" t="s">
        <v>1418</v>
      </c>
      <c r="I1457" s="484" t="s">
        <v>1066</v>
      </c>
      <c r="J1457" s="487" t="s">
        <v>1067</v>
      </c>
      <c r="K1457" s="394" t="str">
        <f t="shared" si="80"/>
        <v>XXX45343606 XX</v>
      </c>
      <c r="L1457" s="391"/>
      <c r="M1457" s="484" t="s">
        <v>708</v>
      </c>
      <c r="N1457" s="487">
        <v>75839</v>
      </c>
      <c r="O1457" s="487" t="s">
        <v>2528</v>
      </c>
      <c r="P1457" s="398" t="s">
        <v>574</v>
      </c>
    </row>
    <row r="1458" spans="1:16" s="401" customFormat="1" ht="36">
      <c r="A1458" s="429">
        <f t="shared" si="79"/>
        <v>1455</v>
      </c>
      <c r="B1458" s="387">
        <v>46148</v>
      </c>
      <c r="C1458" s="388">
        <v>46113</v>
      </c>
      <c r="D1458" s="389" t="s">
        <v>248</v>
      </c>
      <c r="E1458" s="60" t="s">
        <v>454</v>
      </c>
      <c r="F1458" s="491">
        <v>1740</v>
      </c>
      <c r="G1458" s="486" t="s">
        <v>2700</v>
      </c>
      <c r="H1458" s="389" t="s">
        <v>1418</v>
      </c>
      <c r="I1458" s="484" t="s">
        <v>1072</v>
      </c>
      <c r="J1458" s="487" t="s">
        <v>1073</v>
      </c>
      <c r="K1458" s="394" t="str">
        <f t="shared" si="80"/>
        <v>XXX62994659 XX</v>
      </c>
      <c r="L1458" s="391"/>
      <c r="M1458" s="484" t="s">
        <v>708</v>
      </c>
      <c r="N1458" s="487">
        <v>75844</v>
      </c>
      <c r="O1458" s="487" t="s">
        <v>2528</v>
      </c>
      <c r="P1458" s="398" t="s">
        <v>574</v>
      </c>
    </row>
    <row r="1459" spans="1:16" s="401" customFormat="1" ht="36">
      <c r="A1459" s="429">
        <f t="shared" si="79"/>
        <v>1456</v>
      </c>
      <c r="B1459" s="387">
        <v>46148</v>
      </c>
      <c r="C1459" s="388">
        <v>46113</v>
      </c>
      <c r="D1459" s="389" t="s">
        <v>248</v>
      </c>
      <c r="E1459" s="60" t="s">
        <v>454</v>
      </c>
      <c r="F1459" s="491">
        <v>1450</v>
      </c>
      <c r="G1459" s="486" t="s">
        <v>2700</v>
      </c>
      <c r="H1459" s="389" t="s">
        <v>1418</v>
      </c>
      <c r="I1459" s="484" t="s">
        <v>1070</v>
      </c>
      <c r="J1459" s="487" t="s">
        <v>1071</v>
      </c>
      <c r="K1459" s="394" t="str">
        <f t="shared" si="80"/>
        <v>XXX97947651 XX</v>
      </c>
      <c r="L1459" s="391"/>
      <c r="M1459" s="484" t="s">
        <v>708</v>
      </c>
      <c r="N1459" s="487">
        <v>75843</v>
      </c>
      <c r="O1459" s="487" t="s">
        <v>2528</v>
      </c>
      <c r="P1459" s="398" t="s">
        <v>574</v>
      </c>
    </row>
    <row r="1460" spans="1:16" s="401" customFormat="1" ht="36">
      <c r="A1460" s="429">
        <f t="shared" si="79"/>
        <v>1457</v>
      </c>
      <c r="B1460" s="387">
        <v>46148</v>
      </c>
      <c r="C1460" s="388">
        <v>46113</v>
      </c>
      <c r="D1460" s="389" t="s">
        <v>248</v>
      </c>
      <c r="E1460" s="60" t="s">
        <v>454</v>
      </c>
      <c r="F1460" s="491">
        <v>1400</v>
      </c>
      <c r="G1460" s="486" t="s">
        <v>2700</v>
      </c>
      <c r="H1460" s="389" t="s">
        <v>1418</v>
      </c>
      <c r="I1460" s="484" t="s">
        <v>1068</v>
      </c>
      <c r="J1460" s="487" t="s">
        <v>1069</v>
      </c>
      <c r="K1460" s="394" t="str">
        <f t="shared" si="80"/>
        <v>XXX25250646 XX</v>
      </c>
      <c r="L1460" s="391"/>
      <c r="M1460" s="484" t="s">
        <v>708</v>
      </c>
      <c r="N1460" s="487">
        <v>75841</v>
      </c>
      <c r="O1460" s="487" t="s">
        <v>2528</v>
      </c>
      <c r="P1460" s="398" t="s">
        <v>574</v>
      </c>
    </row>
    <row r="1461" spans="1:16" s="401" customFormat="1" ht="36">
      <c r="A1461" s="429">
        <f t="shared" si="79"/>
        <v>1458</v>
      </c>
      <c r="B1461" s="387">
        <v>46148</v>
      </c>
      <c r="C1461" s="388">
        <v>46113</v>
      </c>
      <c r="D1461" s="389" t="s">
        <v>248</v>
      </c>
      <c r="E1461" s="60" t="s">
        <v>454</v>
      </c>
      <c r="F1461" s="491">
        <v>1450</v>
      </c>
      <c r="G1461" s="486" t="s">
        <v>2700</v>
      </c>
      <c r="H1461" s="389" t="s">
        <v>1418</v>
      </c>
      <c r="I1461" s="484" t="s">
        <v>1074</v>
      </c>
      <c r="J1461" s="487" t="s">
        <v>1075</v>
      </c>
      <c r="K1461" s="399" t="s">
        <v>280</v>
      </c>
      <c r="L1461" s="391"/>
      <c r="M1461" s="484" t="s">
        <v>913</v>
      </c>
      <c r="N1461" s="487">
        <v>75845</v>
      </c>
      <c r="O1461" s="487" t="s">
        <v>2528</v>
      </c>
      <c r="P1461" s="398" t="s">
        <v>574</v>
      </c>
    </row>
    <row r="1462" spans="1:16" s="401" customFormat="1" ht="47.25" customHeight="1">
      <c r="A1462" s="429">
        <f t="shared" si="79"/>
        <v>1459</v>
      </c>
      <c r="B1462" s="387">
        <v>46148</v>
      </c>
      <c r="C1462" s="388">
        <v>46113</v>
      </c>
      <c r="D1462" s="389" t="s">
        <v>248</v>
      </c>
      <c r="E1462" s="60" t="s">
        <v>454</v>
      </c>
      <c r="F1462" s="491">
        <v>1800</v>
      </c>
      <c r="G1462" s="486" t="s">
        <v>2700</v>
      </c>
      <c r="H1462" s="389" t="s">
        <v>1418</v>
      </c>
      <c r="I1462" s="484" t="s">
        <v>1076</v>
      </c>
      <c r="J1462" s="487" t="s">
        <v>1077</v>
      </c>
      <c r="K1462" s="394" t="str">
        <f t="shared" si="80"/>
        <v>XXX84604639 XX</v>
      </c>
      <c r="L1462" s="391"/>
      <c r="M1462" s="484" t="s">
        <v>708</v>
      </c>
      <c r="N1462" s="487">
        <v>75846</v>
      </c>
      <c r="O1462" s="487" t="s">
        <v>2528</v>
      </c>
      <c r="P1462" s="398" t="s">
        <v>574</v>
      </c>
    </row>
    <row r="1463" spans="1:16" s="401" customFormat="1" ht="43.5" customHeight="1">
      <c r="A1463" s="429">
        <f t="shared" si="79"/>
        <v>1460</v>
      </c>
      <c r="B1463" s="387">
        <v>46148</v>
      </c>
      <c r="C1463" s="388">
        <v>46113</v>
      </c>
      <c r="D1463" s="389" t="s">
        <v>248</v>
      </c>
      <c r="E1463" s="60" t="s">
        <v>454</v>
      </c>
      <c r="F1463" s="491">
        <v>1800</v>
      </c>
      <c r="G1463" s="486" t="s">
        <v>2700</v>
      </c>
      <c r="H1463" s="389" t="s">
        <v>1418</v>
      </c>
      <c r="I1463" s="484" t="s">
        <v>1078</v>
      </c>
      <c r="J1463" s="487" t="s">
        <v>1079</v>
      </c>
      <c r="K1463" s="394" t="str">
        <f t="shared" si="80"/>
        <v>XXX28795216 XX</v>
      </c>
      <c r="L1463" s="391"/>
      <c r="M1463" s="484" t="s">
        <v>708</v>
      </c>
      <c r="N1463" s="487">
        <v>75847</v>
      </c>
      <c r="O1463" s="487" t="s">
        <v>2528</v>
      </c>
      <c r="P1463" s="398" t="s">
        <v>574</v>
      </c>
    </row>
    <row r="1464" spans="1:16" s="401" customFormat="1" ht="36">
      <c r="A1464" s="429">
        <f t="shared" si="79"/>
        <v>1461</v>
      </c>
      <c r="B1464" s="387">
        <v>46148</v>
      </c>
      <c r="C1464" s="388">
        <v>46113</v>
      </c>
      <c r="D1464" s="389" t="s">
        <v>248</v>
      </c>
      <c r="E1464" s="60" t="s">
        <v>454</v>
      </c>
      <c r="F1464" s="491">
        <v>1400</v>
      </c>
      <c r="G1464" s="486" t="s">
        <v>2700</v>
      </c>
      <c r="H1464" s="389" t="s">
        <v>1418</v>
      </c>
      <c r="I1464" s="484" t="s">
        <v>1080</v>
      </c>
      <c r="J1464" s="487" t="s">
        <v>1081</v>
      </c>
      <c r="K1464" s="394" t="str">
        <f t="shared" si="80"/>
        <v>XXX93363636 XX</v>
      </c>
      <c r="L1464" s="391"/>
      <c r="M1464" s="484" t="s">
        <v>708</v>
      </c>
      <c r="N1464" s="487">
        <v>75848</v>
      </c>
      <c r="O1464" s="487" t="s">
        <v>2528</v>
      </c>
      <c r="P1464" s="398" t="s">
        <v>574</v>
      </c>
    </row>
    <row r="1465" spans="1:16" s="401" customFormat="1" ht="36">
      <c r="A1465" s="429">
        <f t="shared" si="79"/>
        <v>1462</v>
      </c>
      <c r="B1465" s="387">
        <v>46148</v>
      </c>
      <c r="C1465" s="388">
        <v>46113</v>
      </c>
      <c r="D1465" s="389" t="s">
        <v>248</v>
      </c>
      <c r="E1465" s="60" t="s">
        <v>454</v>
      </c>
      <c r="F1465" s="491">
        <v>1680</v>
      </c>
      <c r="G1465" s="486" t="s">
        <v>2700</v>
      </c>
      <c r="H1465" s="389" t="s">
        <v>1418</v>
      </c>
      <c r="I1465" s="484" t="s">
        <v>1082</v>
      </c>
      <c r="J1465" s="487" t="s">
        <v>1083</v>
      </c>
      <c r="K1465" s="394" t="str">
        <f t="shared" si="80"/>
        <v>XXX42486208 XX</v>
      </c>
      <c r="L1465" s="391"/>
      <c r="M1465" s="484" t="s">
        <v>708</v>
      </c>
      <c r="N1465" s="487">
        <v>75849</v>
      </c>
      <c r="O1465" s="487" t="s">
        <v>2528</v>
      </c>
      <c r="P1465" s="398" t="s">
        <v>574</v>
      </c>
    </row>
    <row r="1466" spans="1:16" s="401" customFormat="1" ht="36">
      <c r="A1466" s="429">
        <f t="shared" si="79"/>
        <v>1463</v>
      </c>
      <c r="B1466" s="387">
        <v>46148</v>
      </c>
      <c r="C1466" s="388">
        <v>46113</v>
      </c>
      <c r="D1466" s="389" t="s">
        <v>248</v>
      </c>
      <c r="E1466" s="60" t="s">
        <v>454</v>
      </c>
      <c r="F1466" s="491">
        <v>1500</v>
      </c>
      <c r="G1466" s="486" t="s">
        <v>2700</v>
      </c>
      <c r="H1466" s="389" t="s">
        <v>1418</v>
      </c>
      <c r="I1466" s="484" t="s">
        <v>1084</v>
      </c>
      <c r="J1466" s="487" t="s">
        <v>1085</v>
      </c>
      <c r="K1466" s="394" t="str">
        <f t="shared" si="80"/>
        <v>XXX32776674 XX</v>
      </c>
      <c r="L1466" s="391"/>
      <c r="M1466" s="484" t="s">
        <v>708</v>
      </c>
      <c r="N1466" s="487">
        <v>75850</v>
      </c>
      <c r="O1466" s="487" t="s">
        <v>2528</v>
      </c>
      <c r="P1466" s="398" t="s">
        <v>574</v>
      </c>
    </row>
    <row r="1467" spans="1:16" s="401" customFormat="1" ht="36">
      <c r="A1467" s="429">
        <f t="shared" si="79"/>
        <v>1464</v>
      </c>
      <c r="B1467" s="387">
        <v>46148</v>
      </c>
      <c r="C1467" s="388">
        <v>46113</v>
      </c>
      <c r="D1467" s="389" t="s">
        <v>248</v>
      </c>
      <c r="E1467" s="60" t="s">
        <v>454</v>
      </c>
      <c r="F1467" s="491">
        <v>1800</v>
      </c>
      <c r="G1467" s="486" t="s">
        <v>2700</v>
      </c>
      <c r="H1467" s="389" t="s">
        <v>1418</v>
      </c>
      <c r="I1467" s="484" t="s">
        <v>1086</v>
      </c>
      <c r="J1467" s="487" t="s">
        <v>1087</v>
      </c>
      <c r="K1467" s="394" t="str">
        <f t="shared" si="80"/>
        <v>XXX41278661 XX</v>
      </c>
      <c r="L1467" s="391"/>
      <c r="M1467" s="484" t="s">
        <v>708</v>
      </c>
      <c r="N1467" s="487">
        <v>75852</v>
      </c>
      <c r="O1467" s="487" t="s">
        <v>2528</v>
      </c>
      <c r="P1467" s="398" t="s">
        <v>574</v>
      </c>
    </row>
    <row r="1468" spans="1:16" s="401" customFormat="1" ht="36">
      <c r="A1468" s="429">
        <f t="shared" si="79"/>
        <v>1465</v>
      </c>
      <c r="B1468" s="387">
        <v>46148</v>
      </c>
      <c r="C1468" s="388">
        <v>46113</v>
      </c>
      <c r="D1468" s="389" t="s">
        <v>248</v>
      </c>
      <c r="E1468" s="60" t="s">
        <v>454</v>
      </c>
      <c r="F1468" s="491">
        <v>1400</v>
      </c>
      <c r="G1468" s="486" t="s">
        <v>2700</v>
      </c>
      <c r="H1468" s="389" t="s">
        <v>1418</v>
      </c>
      <c r="I1468" s="484" t="s">
        <v>1088</v>
      </c>
      <c r="J1468" s="487" t="s">
        <v>1089</v>
      </c>
      <c r="K1468" s="390" t="str">
        <f t="shared" si="80"/>
        <v>XXX34290665 XX</v>
      </c>
      <c r="L1468" s="403"/>
      <c r="M1468" s="484" t="s">
        <v>708</v>
      </c>
      <c r="N1468" s="487">
        <v>75854</v>
      </c>
      <c r="O1468" s="487" t="s">
        <v>2528</v>
      </c>
      <c r="P1468" s="398" t="s">
        <v>574</v>
      </c>
    </row>
    <row r="1469" spans="1:16" s="401" customFormat="1" ht="36">
      <c r="A1469" s="429">
        <f t="shared" si="79"/>
        <v>1466</v>
      </c>
      <c r="B1469" s="387">
        <v>46148</v>
      </c>
      <c r="C1469" s="388">
        <v>46113</v>
      </c>
      <c r="D1469" s="389" t="s">
        <v>248</v>
      </c>
      <c r="E1469" s="60" t="s">
        <v>454</v>
      </c>
      <c r="F1469" s="491">
        <v>1500</v>
      </c>
      <c r="G1469" s="486" t="s">
        <v>2700</v>
      </c>
      <c r="H1469" s="389" t="s">
        <v>1418</v>
      </c>
      <c r="I1469" s="484" t="s">
        <v>1090</v>
      </c>
      <c r="J1469" s="487" t="s">
        <v>1091</v>
      </c>
      <c r="K1469" s="390" t="str">
        <f t="shared" si="80"/>
        <v>XXX64962680 XX</v>
      </c>
      <c r="L1469" s="403"/>
      <c r="M1469" s="484" t="s">
        <v>708</v>
      </c>
      <c r="N1469" s="487">
        <v>75855</v>
      </c>
      <c r="O1469" s="487" t="s">
        <v>2528</v>
      </c>
      <c r="P1469" s="398" t="s">
        <v>574</v>
      </c>
    </row>
    <row r="1470" spans="1:16" s="401" customFormat="1" ht="48">
      <c r="A1470" s="429">
        <f t="shared" si="79"/>
        <v>1467</v>
      </c>
      <c r="B1470" s="387">
        <v>46148</v>
      </c>
      <c r="C1470" s="388">
        <v>46113</v>
      </c>
      <c r="D1470" s="389" t="s">
        <v>248</v>
      </c>
      <c r="E1470" s="60" t="s">
        <v>454</v>
      </c>
      <c r="F1470" s="491">
        <v>1740</v>
      </c>
      <c r="G1470" s="486" t="s">
        <v>2701</v>
      </c>
      <c r="H1470" s="389" t="s">
        <v>1418</v>
      </c>
      <c r="I1470" s="484" t="s">
        <v>2147</v>
      </c>
      <c r="J1470" s="487" t="s">
        <v>2148</v>
      </c>
      <c r="K1470" s="394" t="str">
        <f t="shared" si="80"/>
        <v>XXX91144647 XX</v>
      </c>
      <c r="L1470" s="391"/>
      <c r="M1470" s="484" t="s">
        <v>708</v>
      </c>
      <c r="N1470" s="487">
        <v>75856</v>
      </c>
      <c r="O1470" s="487" t="s">
        <v>2528</v>
      </c>
      <c r="P1470" s="398" t="s">
        <v>574</v>
      </c>
    </row>
    <row r="1471" spans="1:16" s="401" customFormat="1" ht="36">
      <c r="A1471" s="429">
        <f t="shared" si="79"/>
        <v>1468</v>
      </c>
      <c r="B1471" s="387">
        <v>46148</v>
      </c>
      <c r="C1471" s="388">
        <v>46113</v>
      </c>
      <c r="D1471" s="389" t="s">
        <v>248</v>
      </c>
      <c r="E1471" s="60" t="s">
        <v>454</v>
      </c>
      <c r="F1471" s="491">
        <v>1800</v>
      </c>
      <c r="G1471" s="486" t="s">
        <v>2700</v>
      </c>
      <c r="H1471" s="389" t="s">
        <v>1418</v>
      </c>
      <c r="I1471" s="484" t="s">
        <v>1092</v>
      </c>
      <c r="J1471" s="487" t="s">
        <v>1093</v>
      </c>
      <c r="K1471" s="390" t="str">
        <f t="shared" si="80"/>
        <v>XXX75959766 XX</v>
      </c>
      <c r="L1471" s="391"/>
      <c r="M1471" s="484" t="s">
        <v>708</v>
      </c>
      <c r="N1471" s="487">
        <v>75857</v>
      </c>
      <c r="O1471" s="487" t="s">
        <v>2528</v>
      </c>
      <c r="P1471" s="398" t="s">
        <v>574</v>
      </c>
    </row>
    <row r="1472" spans="1:16" s="401" customFormat="1" ht="36">
      <c r="A1472" s="429">
        <f t="shared" si="79"/>
        <v>1469</v>
      </c>
      <c r="B1472" s="387">
        <v>46148</v>
      </c>
      <c r="C1472" s="388">
        <v>46113</v>
      </c>
      <c r="D1472" s="389" t="s">
        <v>248</v>
      </c>
      <c r="E1472" s="60" t="s">
        <v>454</v>
      </c>
      <c r="F1472" s="491">
        <v>1800</v>
      </c>
      <c r="G1472" s="486" t="s">
        <v>2700</v>
      </c>
      <c r="H1472" s="389" t="s">
        <v>1418</v>
      </c>
      <c r="I1472" s="484" t="s">
        <v>1094</v>
      </c>
      <c r="J1472" s="487" t="s">
        <v>1095</v>
      </c>
      <c r="K1472" s="394" t="str">
        <f t="shared" ref="K1472:K1509" si="81">IF(J1472="","",IF(LEN(J1472)&gt;14,IF(ISBLANK(J1472),"",J1472),REPLACE(REPLACE(J1472,1,3,"XXX"),13,2,"XX")))</f>
        <v>XXX79919790 XX</v>
      </c>
      <c r="L1472" s="391"/>
      <c r="M1472" s="484" t="s">
        <v>708</v>
      </c>
      <c r="N1472" s="487">
        <v>75858</v>
      </c>
      <c r="O1472" s="487" t="s">
        <v>2528</v>
      </c>
      <c r="P1472" s="398" t="s">
        <v>574</v>
      </c>
    </row>
    <row r="1473" spans="1:16" s="401" customFormat="1" ht="24">
      <c r="A1473" s="429">
        <f t="shared" si="79"/>
        <v>1470</v>
      </c>
      <c r="B1473" s="387">
        <v>46148</v>
      </c>
      <c r="C1473" s="388">
        <v>46113</v>
      </c>
      <c r="D1473" s="389" t="s">
        <v>166</v>
      </c>
      <c r="E1473" s="83" t="s">
        <v>10</v>
      </c>
      <c r="F1473" s="491">
        <v>21.82</v>
      </c>
      <c r="G1473" s="486" t="s">
        <v>2702</v>
      </c>
      <c r="H1473" s="389" t="s">
        <v>166</v>
      </c>
      <c r="I1473" s="484" t="s">
        <v>647</v>
      </c>
      <c r="J1473" s="487" t="s">
        <v>648</v>
      </c>
      <c r="K1473" s="394" t="str">
        <f t="shared" si="81"/>
        <v>XXX603050001XX</v>
      </c>
      <c r="L1473" s="391"/>
      <c r="M1473" s="484" t="s">
        <v>718</v>
      </c>
      <c r="N1473" s="487">
        <v>52026</v>
      </c>
      <c r="O1473" s="487" t="s">
        <v>2089</v>
      </c>
      <c r="P1473" s="398" t="s">
        <v>573</v>
      </c>
    </row>
    <row r="1474" spans="1:16" s="401" customFormat="1" ht="24">
      <c r="A1474" s="429">
        <f t="shared" si="79"/>
        <v>1471</v>
      </c>
      <c r="B1474" s="387">
        <v>46148</v>
      </c>
      <c r="C1474" s="388">
        <v>46113</v>
      </c>
      <c r="D1474" s="389" t="s">
        <v>166</v>
      </c>
      <c r="E1474" s="83" t="s">
        <v>452</v>
      </c>
      <c r="F1474" s="491">
        <v>2008.91</v>
      </c>
      <c r="G1474" s="486" t="s">
        <v>2703</v>
      </c>
      <c r="H1474" s="389" t="s">
        <v>166</v>
      </c>
      <c r="I1474" s="484" t="s">
        <v>2555</v>
      </c>
      <c r="J1474" s="487" t="s">
        <v>2556</v>
      </c>
      <c r="K1474" s="394" t="str">
        <f t="shared" si="81"/>
        <v>XXX89828665 XX</v>
      </c>
      <c r="L1474" s="391"/>
      <c r="M1474" s="484" t="s">
        <v>705</v>
      </c>
      <c r="N1474" s="487">
        <v>375</v>
      </c>
      <c r="O1474" s="487" t="s">
        <v>2089</v>
      </c>
      <c r="P1474" s="398" t="s">
        <v>573</v>
      </c>
    </row>
    <row r="1475" spans="1:16" s="401" customFormat="1" ht="24">
      <c r="A1475" s="429">
        <f t="shared" si="79"/>
        <v>1472</v>
      </c>
      <c r="B1475" s="387">
        <v>46148</v>
      </c>
      <c r="C1475" s="388">
        <v>46143</v>
      </c>
      <c r="D1475" s="389" t="s">
        <v>166</v>
      </c>
      <c r="E1475" s="484" t="s">
        <v>583</v>
      </c>
      <c r="F1475" s="491">
        <v>3426.52</v>
      </c>
      <c r="G1475" s="486" t="s">
        <v>2704</v>
      </c>
      <c r="H1475" s="389" t="s">
        <v>166</v>
      </c>
      <c r="I1475" s="484" t="s">
        <v>1098</v>
      </c>
      <c r="J1475" s="487" t="s">
        <v>1099</v>
      </c>
      <c r="K1475" s="394" t="str">
        <f t="shared" si="81"/>
        <v>XXX84866648 XX</v>
      </c>
      <c r="L1475" s="403"/>
      <c r="M1475" s="484" t="s">
        <v>705</v>
      </c>
      <c r="N1475" s="487">
        <v>733</v>
      </c>
      <c r="O1475" s="487" t="s">
        <v>2546</v>
      </c>
      <c r="P1475" s="398" t="s">
        <v>573</v>
      </c>
    </row>
    <row r="1476" spans="1:16" s="401" customFormat="1" ht="48">
      <c r="A1476" s="429">
        <f t="shared" si="79"/>
        <v>1473</v>
      </c>
      <c r="B1476" s="387">
        <v>46148</v>
      </c>
      <c r="C1476" s="388">
        <v>46143</v>
      </c>
      <c r="D1476" s="389" t="s">
        <v>248</v>
      </c>
      <c r="E1476" s="484" t="s">
        <v>597</v>
      </c>
      <c r="F1476" s="491">
        <v>96</v>
      </c>
      <c r="G1476" s="486" t="s">
        <v>2705</v>
      </c>
      <c r="H1476" s="389" t="s">
        <v>278</v>
      </c>
      <c r="I1476" s="484" t="s">
        <v>2979</v>
      </c>
      <c r="J1476" s="487" t="s">
        <v>2980</v>
      </c>
      <c r="K1476" s="390" t="str">
        <f t="shared" si="81"/>
        <v>28.662.734-0001.55</v>
      </c>
      <c r="L1476" s="391"/>
      <c r="M1476" s="484" t="s">
        <v>710</v>
      </c>
      <c r="N1476" s="487">
        <v>4493</v>
      </c>
      <c r="O1476" s="487" t="s">
        <v>2528</v>
      </c>
      <c r="P1476" s="391" t="s">
        <v>2525</v>
      </c>
    </row>
    <row r="1477" spans="1:16" s="401" customFormat="1" ht="48">
      <c r="A1477" s="429">
        <f t="shared" si="79"/>
        <v>1474</v>
      </c>
      <c r="B1477" s="387">
        <v>46148</v>
      </c>
      <c r="C1477" s="388">
        <v>46143</v>
      </c>
      <c r="D1477" s="389" t="s">
        <v>166</v>
      </c>
      <c r="E1477" s="484" t="s">
        <v>586</v>
      </c>
      <c r="F1477" s="491">
        <v>600</v>
      </c>
      <c r="G1477" s="486" t="s">
        <v>2706</v>
      </c>
      <c r="H1477" s="389" t="s">
        <v>166</v>
      </c>
      <c r="I1477" s="484" t="s">
        <v>620</v>
      </c>
      <c r="J1477" s="487" t="s">
        <v>621</v>
      </c>
      <c r="K1477" s="394" t="str">
        <f t="shared" si="81"/>
        <v>XXX408760001XX</v>
      </c>
      <c r="L1477" s="391"/>
      <c r="M1477" s="484" t="s">
        <v>706</v>
      </c>
      <c r="N1477" s="487">
        <v>2057887486</v>
      </c>
      <c r="O1477" s="487" t="s">
        <v>2528</v>
      </c>
      <c r="P1477" s="398" t="s">
        <v>572</v>
      </c>
    </row>
    <row r="1478" spans="1:16" s="401" customFormat="1" ht="36">
      <c r="A1478" s="429">
        <f t="shared" si="79"/>
        <v>1475</v>
      </c>
      <c r="B1478" s="387">
        <v>46149</v>
      </c>
      <c r="C1478" s="388">
        <v>46113</v>
      </c>
      <c r="D1478" s="389" t="s">
        <v>248</v>
      </c>
      <c r="E1478" s="484" t="s">
        <v>593</v>
      </c>
      <c r="F1478" s="491">
        <v>540</v>
      </c>
      <c r="G1478" s="486" t="s">
        <v>3045</v>
      </c>
      <c r="H1478" s="389" t="s">
        <v>736</v>
      </c>
      <c r="I1478" s="484" t="s">
        <v>635</v>
      </c>
      <c r="J1478" s="487" t="s">
        <v>636</v>
      </c>
      <c r="K1478" s="390" t="str">
        <f t="shared" si="81"/>
        <v>XXX153830001XX</v>
      </c>
      <c r="L1478" s="391"/>
      <c r="M1478" s="484" t="s">
        <v>712</v>
      </c>
      <c r="N1478" s="487">
        <v>113</v>
      </c>
      <c r="O1478" s="487" t="s">
        <v>2089</v>
      </c>
      <c r="P1478" s="398" t="s">
        <v>868</v>
      </c>
    </row>
    <row r="1479" spans="1:16" s="401" customFormat="1" ht="48">
      <c r="A1479" s="429">
        <f t="shared" si="79"/>
        <v>1476</v>
      </c>
      <c r="B1479" s="387">
        <v>46149</v>
      </c>
      <c r="C1479" s="388">
        <v>46113</v>
      </c>
      <c r="D1479" s="389" t="s">
        <v>248</v>
      </c>
      <c r="E1479" s="484" t="s">
        <v>593</v>
      </c>
      <c r="F1479" s="491">
        <v>3275.06</v>
      </c>
      <c r="G1479" s="486" t="s">
        <v>3046</v>
      </c>
      <c r="H1479" s="389" t="s">
        <v>736</v>
      </c>
      <c r="I1479" s="484" t="s">
        <v>635</v>
      </c>
      <c r="J1479" s="487" t="s">
        <v>636</v>
      </c>
      <c r="K1479" s="394" t="str">
        <f t="shared" si="81"/>
        <v>XXX153830001XX</v>
      </c>
      <c r="L1479" s="391"/>
      <c r="M1479" s="484" t="s">
        <v>712</v>
      </c>
      <c r="N1479" s="487">
        <v>3</v>
      </c>
      <c r="O1479" s="487" t="s">
        <v>2089</v>
      </c>
      <c r="P1479" s="398" t="s">
        <v>868</v>
      </c>
    </row>
    <row r="1480" spans="1:16" s="401" customFormat="1" ht="36">
      <c r="A1480" s="429">
        <f t="shared" si="79"/>
        <v>1477</v>
      </c>
      <c r="B1480" s="387">
        <v>46149</v>
      </c>
      <c r="C1480" s="388">
        <v>46113</v>
      </c>
      <c r="D1480" s="389" t="s">
        <v>248</v>
      </c>
      <c r="E1480" s="484" t="s">
        <v>599</v>
      </c>
      <c r="F1480" s="491">
        <v>88.15</v>
      </c>
      <c r="G1480" s="486" t="s">
        <v>3047</v>
      </c>
      <c r="H1480" s="389" t="s">
        <v>736</v>
      </c>
      <c r="I1480" s="484" t="s">
        <v>635</v>
      </c>
      <c r="J1480" s="487" t="s">
        <v>636</v>
      </c>
      <c r="K1480" s="394" t="str">
        <f t="shared" si="81"/>
        <v>XXX153830001XX</v>
      </c>
      <c r="L1480" s="391"/>
      <c r="M1480" s="484" t="s">
        <v>712</v>
      </c>
      <c r="N1480" s="487">
        <v>31</v>
      </c>
      <c r="O1480" s="487" t="s">
        <v>2090</v>
      </c>
      <c r="P1480" s="398" t="s">
        <v>868</v>
      </c>
    </row>
    <row r="1481" spans="1:16" s="401" customFormat="1" ht="36">
      <c r="A1481" s="429">
        <f t="shared" si="79"/>
        <v>1478</v>
      </c>
      <c r="B1481" s="387">
        <v>46149</v>
      </c>
      <c r="C1481" s="388">
        <v>46113</v>
      </c>
      <c r="D1481" s="389" t="s">
        <v>248</v>
      </c>
      <c r="E1481" s="60" t="s">
        <v>171</v>
      </c>
      <c r="F1481" s="491">
        <v>211.25</v>
      </c>
      <c r="G1481" s="486" t="s">
        <v>3048</v>
      </c>
      <c r="H1481" s="389" t="s">
        <v>278</v>
      </c>
      <c r="I1481" s="484" t="s">
        <v>635</v>
      </c>
      <c r="J1481" s="487" t="s">
        <v>636</v>
      </c>
      <c r="K1481" s="394" t="str">
        <f t="shared" si="81"/>
        <v>XXX153830001XX</v>
      </c>
      <c r="L1481" s="403"/>
      <c r="M1481" s="484" t="s">
        <v>712</v>
      </c>
      <c r="N1481" s="487">
        <v>38</v>
      </c>
      <c r="O1481" s="487" t="s">
        <v>2090</v>
      </c>
      <c r="P1481" s="398" t="s">
        <v>868</v>
      </c>
    </row>
    <row r="1482" spans="1:16" s="401" customFormat="1" ht="36">
      <c r="A1482" s="429">
        <f t="shared" si="79"/>
        <v>1479</v>
      </c>
      <c r="B1482" s="387">
        <v>46149</v>
      </c>
      <c r="C1482" s="388">
        <v>46113</v>
      </c>
      <c r="D1482" s="389" t="s">
        <v>248</v>
      </c>
      <c r="E1482" s="484" t="s">
        <v>1551</v>
      </c>
      <c r="F1482" s="491">
        <v>20.32</v>
      </c>
      <c r="G1482" s="486" t="s">
        <v>3049</v>
      </c>
      <c r="H1482" s="389" t="s">
        <v>737</v>
      </c>
      <c r="I1482" s="484" t="s">
        <v>635</v>
      </c>
      <c r="J1482" s="487" t="s">
        <v>636</v>
      </c>
      <c r="K1482" s="390" t="str">
        <f t="shared" si="81"/>
        <v>XXX153830001XX</v>
      </c>
      <c r="L1482" s="391"/>
      <c r="M1482" s="484" t="s">
        <v>712</v>
      </c>
      <c r="N1482" s="487">
        <v>19</v>
      </c>
      <c r="O1482" s="487" t="s">
        <v>2089</v>
      </c>
      <c r="P1482" s="398" t="s">
        <v>868</v>
      </c>
    </row>
    <row r="1483" spans="1:16" s="401" customFormat="1" ht="84">
      <c r="A1483" s="429">
        <f t="shared" si="79"/>
        <v>1480</v>
      </c>
      <c r="B1483" s="387">
        <v>46149</v>
      </c>
      <c r="C1483" s="388">
        <v>46113</v>
      </c>
      <c r="D1483" s="389" t="s">
        <v>248</v>
      </c>
      <c r="E1483" s="484" t="s">
        <v>596</v>
      </c>
      <c r="F1483" s="491">
        <v>295.2</v>
      </c>
      <c r="G1483" s="486" t="s">
        <v>3050</v>
      </c>
      <c r="H1483" s="389" t="s">
        <v>737</v>
      </c>
      <c r="I1483" s="484" t="s">
        <v>635</v>
      </c>
      <c r="J1483" s="487" t="s">
        <v>636</v>
      </c>
      <c r="K1483" s="394" t="str">
        <f t="shared" si="81"/>
        <v>XXX153830001XX</v>
      </c>
      <c r="L1483" s="391"/>
      <c r="M1483" s="484" t="s">
        <v>712</v>
      </c>
      <c r="N1483" s="487">
        <v>16</v>
      </c>
      <c r="O1483" s="487" t="s">
        <v>2089</v>
      </c>
      <c r="P1483" s="398" t="s">
        <v>868</v>
      </c>
    </row>
    <row r="1484" spans="1:16" s="401" customFormat="1" ht="48">
      <c r="A1484" s="429">
        <f t="shared" si="79"/>
        <v>1481</v>
      </c>
      <c r="B1484" s="387">
        <v>46149</v>
      </c>
      <c r="C1484" s="388">
        <v>46113</v>
      </c>
      <c r="D1484" s="389" t="s">
        <v>248</v>
      </c>
      <c r="E1484" s="60" t="s">
        <v>494</v>
      </c>
      <c r="F1484" s="491">
        <v>1116.43</v>
      </c>
      <c r="G1484" s="486" t="s">
        <v>2993</v>
      </c>
      <c r="H1484" s="389" t="s">
        <v>736</v>
      </c>
      <c r="I1484" s="484" t="s">
        <v>635</v>
      </c>
      <c r="J1484" s="487" t="s">
        <v>636</v>
      </c>
      <c r="K1484" s="394" t="str">
        <f t="shared" si="81"/>
        <v>XXX153830001XX</v>
      </c>
      <c r="L1484" s="391"/>
      <c r="M1484" s="484" t="s">
        <v>712</v>
      </c>
      <c r="N1484" s="487">
        <v>12</v>
      </c>
      <c r="O1484" s="487" t="s">
        <v>2090</v>
      </c>
      <c r="P1484" s="398" t="s">
        <v>868</v>
      </c>
    </row>
    <row r="1485" spans="1:16" s="401" customFormat="1" ht="60">
      <c r="A1485" s="429">
        <f t="shared" si="79"/>
        <v>1482</v>
      </c>
      <c r="B1485" s="387">
        <v>46149</v>
      </c>
      <c r="C1485" s="388">
        <v>46113</v>
      </c>
      <c r="D1485" s="389" t="s">
        <v>248</v>
      </c>
      <c r="E1485" s="484" t="s">
        <v>596</v>
      </c>
      <c r="F1485" s="491">
        <v>70</v>
      </c>
      <c r="G1485" s="486" t="s">
        <v>3051</v>
      </c>
      <c r="H1485" s="389" t="s">
        <v>737</v>
      </c>
      <c r="I1485" s="484" t="s">
        <v>635</v>
      </c>
      <c r="J1485" s="487" t="s">
        <v>636</v>
      </c>
      <c r="K1485" s="394" t="str">
        <f t="shared" si="81"/>
        <v>XXX153830001XX</v>
      </c>
      <c r="L1485" s="391"/>
      <c r="M1485" s="484" t="s">
        <v>712</v>
      </c>
      <c r="N1485" s="487">
        <v>392</v>
      </c>
      <c r="O1485" s="487" t="s">
        <v>2090</v>
      </c>
      <c r="P1485" s="398" t="s">
        <v>868</v>
      </c>
    </row>
    <row r="1486" spans="1:16" s="401" customFormat="1" ht="48">
      <c r="A1486" s="429">
        <f t="shared" si="79"/>
        <v>1483</v>
      </c>
      <c r="B1486" s="387">
        <v>46149</v>
      </c>
      <c r="C1486" s="388">
        <v>46113</v>
      </c>
      <c r="D1486" s="389" t="s">
        <v>248</v>
      </c>
      <c r="E1486" s="484" t="s">
        <v>597</v>
      </c>
      <c r="F1486" s="491">
        <v>282.99</v>
      </c>
      <c r="G1486" s="486" t="s">
        <v>2707</v>
      </c>
      <c r="H1486" s="389" t="s">
        <v>278</v>
      </c>
      <c r="I1486" s="484" t="s">
        <v>698</v>
      </c>
      <c r="J1486" s="487" t="s">
        <v>699</v>
      </c>
      <c r="K1486" s="394" t="str">
        <f t="shared" si="81"/>
        <v>XXX553420010XX</v>
      </c>
      <c r="L1486" s="391"/>
      <c r="M1486" s="484" t="s">
        <v>708</v>
      </c>
      <c r="N1486" s="487">
        <v>784998</v>
      </c>
      <c r="O1486" s="487" t="s">
        <v>2092</v>
      </c>
      <c r="P1486" s="398" t="s">
        <v>574</v>
      </c>
    </row>
    <row r="1487" spans="1:16" s="401" customFormat="1" ht="48">
      <c r="A1487" s="429">
        <f t="shared" si="79"/>
        <v>1484</v>
      </c>
      <c r="B1487" s="387">
        <v>46149</v>
      </c>
      <c r="C1487" s="388">
        <v>46113</v>
      </c>
      <c r="D1487" s="389" t="s">
        <v>248</v>
      </c>
      <c r="E1487" s="60" t="s">
        <v>0</v>
      </c>
      <c r="F1487" s="491">
        <v>113.92</v>
      </c>
      <c r="G1487" s="486" t="s">
        <v>2707</v>
      </c>
      <c r="H1487" s="389" t="s">
        <v>278</v>
      </c>
      <c r="I1487" s="484" t="s">
        <v>698</v>
      </c>
      <c r="J1487" s="487" t="s">
        <v>699</v>
      </c>
      <c r="K1487" s="394" t="str">
        <f t="shared" si="81"/>
        <v>XXX553420010XX</v>
      </c>
      <c r="L1487" s="391"/>
      <c r="M1487" s="484" t="s">
        <v>708</v>
      </c>
      <c r="N1487" s="487">
        <v>784998</v>
      </c>
      <c r="O1487" s="487" t="s">
        <v>2092</v>
      </c>
      <c r="P1487" s="398" t="s">
        <v>574</v>
      </c>
    </row>
    <row r="1488" spans="1:16" s="401" customFormat="1" ht="36">
      <c r="A1488" s="429">
        <f t="shared" si="79"/>
        <v>1485</v>
      </c>
      <c r="B1488" s="387">
        <v>46149</v>
      </c>
      <c r="C1488" s="388">
        <v>46113</v>
      </c>
      <c r="D1488" s="389" t="s">
        <v>248</v>
      </c>
      <c r="E1488" s="60" t="s">
        <v>78</v>
      </c>
      <c r="F1488" s="491">
        <v>27.2</v>
      </c>
      <c r="G1488" s="486" t="s">
        <v>3052</v>
      </c>
      <c r="H1488" s="389" t="s">
        <v>736</v>
      </c>
      <c r="I1488" s="484" t="s">
        <v>635</v>
      </c>
      <c r="J1488" s="487" t="s">
        <v>636</v>
      </c>
      <c r="K1488" s="394" t="str">
        <f t="shared" si="81"/>
        <v>XXX153830001XX</v>
      </c>
      <c r="L1488" s="391"/>
      <c r="M1488" s="484" t="s">
        <v>712</v>
      </c>
      <c r="N1488" s="487">
        <v>189</v>
      </c>
      <c r="O1488" s="487" t="s">
        <v>2092</v>
      </c>
      <c r="P1488" s="398" t="s">
        <v>868</v>
      </c>
    </row>
    <row r="1489" spans="1:16" s="401" customFormat="1" ht="48">
      <c r="A1489" s="429">
        <f t="shared" si="79"/>
        <v>1486</v>
      </c>
      <c r="B1489" s="387">
        <v>46149</v>
      </c>
      <c r="C1489" s="388">
        <v>46113</v>
      </c>
      <c r="D1489" s="389" t="s">
        <v>248</v>
      </c>
      <c r="E1489" s="484" t="s">
        <v>1550</v>
      </c>
      <c r="F1489" s="491">
        <v>103.95</v>
      </c>
      <c r="G1489" s="486" t="s">
        <v>3053</v>
      </c>
      <c r="H1489" s="389" t="s">
        <v>736</v>
      </c>
      <c r="I1489" s="484" t="s">
        <v>635</v>
      </c>
      <c r="J1489" s="487" t="s">
        <v>636</v>
      </c>
      <c r="K1489" s="394" t="str">
        <f t="shared" si="81"/>
        <v>XXX153830001XX</v>
      </c>
      <c r="L1489" s="391"/>
      <c r="M1489" s="484" t="s">
        <v>712</v>
      </c>
      <c r="N1489" s="487">
        <v>3968</v>
      </c>
      <c r="O1489" s="487" t="s">
        <v>2092</v>
      </c>
      <c r="P1489" s="398" t="s">
        <v>868</v>
      </c>
    </row>
    <row r="1490" spans="1:16" s="401" customFormat="1" ht="72">
      <c r="A1490" s="429">
        <f t="shared" si="79"/>
        <v>1487</v>
      </c>
      <c r="B1490" s="387">
        <v>46149</v>
      </c>
      <c r="C1490" s="388">
        <v>46113</v>
      </c>
      <c r="D1490" s="389" t="s">
        <v>248</v>
      </c>
      <c r="E1490" s="484" t="s">
        <v>1213</v>
      </c>
      <c r="F1490" s="491">
        <v>450</v>
      </c>
      <c r="G1490" s="486" t="s">
        <v>3054</v>
      </c>
      <c r="H1490" s="392" t="s">
        <v>278</v>
      </c>
      <c r="I1490" s="484" t="s">
        <v>635</v>
      </c>
      <c r="J1490" s="487" t="s">
        <v>636</v>
      </c>
      <c r="K1490" s="394" t="str">
        <f t="shared" si="81"/>
        <v>XXX153830001XX</v>
      </c>
      <c r="L1490" s="403"/>
      <c r="M1490" s="484" t="s">
        <v>712</v>
      </c>
      <c r="N1490" s="487">
        <v>42</v>
      </c>
      <c r="O1490" s="487" t="s">
        <v>2096</v>
      </c>
      <c r="P1490" s="398" t="s">
        <v>868</v>
      </c>
    </row>
    <row r="1491" spans="1:16" s="401" customFormat="1" ht="84">
      <c r="A1491" s="429">
        <f t="shared" si="79"/>
        <v>1488</v>
      </c>
      <c r="B1491" s="387">
        <v>46149</v>
      </c>
      <c r="C1491" s="388">
        <v>46113</v>
      </c>
      <c r="D1491" s="389" t="s">
        <v>248</v>
      </c>
      <c r="E1491" s="484" t="s">
        <v>1213</v>
      </c>
      <c r="F1491" s="491">
        <v>450</v>
      </c>
      <c r="G1491" s="486" t="s">
        <v>3055</v>
      </c>
      <c r="H1491" s="392" t="s">
        <v>278</v>
      </c>
      <c r="I1491" s="484" t="s">
        <v>635</v>
      </c>
      <c r="J1491" s="487" t="s">
        <v>636</v>
      </c>
      <c r="K1491" s="394" t="str">
        <f t="shared" si="81"/>
        <v>XXX153830001XX</v>
      </c>
      <c r="L1491" s="391"/>
      <c r="M1491" s="484" t="s">
        <v>712</v>
      </c>
      <c r="N1491" s="487">
        <v>43</v>
      </c>
      <c r="O1491" s="487" t="s">
        <v>2096</v>
      </c>
      <c r="P1491" s="398" t="s">
        <v>868</v>
      </c>
    </row>
    <row r="1492" spans="1:16" s="401" customFormat="1" ht="36">
      <c r="A1492" s="429">
        <f t="shared" si="79"/>
        <v>1489</v>
      </c>
      <c r="B1492" s="387">
        <v>46149</v>
      </c>
      <c r="C1492" s="388">
        <v>46113</v>
      </c>
      <c r="D1492" s="389" t="s">
        <v>248</v>
      </c>
      <c r="E1492" s="484" t="s">
        <v>1211</v>
      </c>
      <c r="F1492" s="491">
        <v>425</v>
      </c>
      <c r="G1492" s="486" t="s">
        <v>3056</v>
      </c>
      <c r="H1492" s="389" t="s">
        <v>278</v>
      </c>
      <c r="I1492" s="484" t="s">
        <v>635</v>
      </c>
      <c r="J1492" s="487" t="s">
        <v>636</v>
      </c>
      <c r="K1492" s="394" t="str">
        <f t="shared" si="81"/>
        <v>XXX153830001XX</v>
      </c>
      <c r="L1492" s="391"/>
      <c r="M1492" s="484" t="s">
        <v>712</v>
      </c>
      <c r="N1492" s="487">
        <v>19</v>
      </c>
      <c r="O1492" s="487" t="s">
        <v>2097</v>
      </c>
      <c r="P1492" s="398" t="s">
        <v>868</v>
      </c>
    </row>
    <row r="1493" spans="1:16" s="401" customFormat="1" ht="36">
      <c r="A1493" s="429">
        <f t="shared" si="79"/>
        <v>1490</v>
      </c>
      <c r="B1493" s="387">
        <v>46149</v>
      </c>
      <c r="C1493" s="388">
        <v>46113</v>
      </c>
      <c r="D1493" s="389" t="s">
        <v>248</v>
      </c>
      <c r="E1493" s="60" t="s">
        <v>455</v>
      </c>
      <c r="F1493" s="491">
        <v>2965.9</v>
      </c>
      <c r="G1493" s="486" t="s">
        <v>3057</v>
      </c>
      <c r="H1493" s="389" t="s">
        <v>738</v>
      </c>
      <c r="I1493" s="484" t="s">
        <v>635</v>
      </c>
      <c r="J1493" s="487" t="s">
        <v>636</v>
      </c>
      <c r="K1493" s="394" t="str">
        <f t="shared" si="81"/>
        <v>XXX153830001XX</v>
      </c>
      <c r="L1493" s="391"/>
      <c r="M1493" s="484" t="s">
        <v>712</v>
      </c>
      <c r="N1493" s="487">
        <v>253</v>
      </c>
      <c r="O1493" s="487" t="s">
        <v>2094</v>
      </c>
      <c r="P1493" s="398" t="s">
        <v>868</v>
      </c>
    </row>
    <row r="1494" spans="1:16" s="401" customFormat="1" ht="44.25" customHeight="1">
      <c r="A1494" s="429">
        <f t="shared" si="79"/>
        <v>1491</v>
      </c>
      <c r="B1494" s="387">
        <v>46149</v>
      </c>
      <c r="C1494" s="388">
        <v>46113</v>
      </c>
      <c r="D1494" s="389" t="s">
        <v>248</v>
      </c>
      <c r="E1494" s="484" t="s">
        <v>604</v>
      </c>
      <c r="F1494" s="491">
        <v>410.44</v>
      </c>
      <c r="G1494" s="486" t="s">
        <v>3058</v>
      </c>
      <c r="H1494" s="389" t="s">
        <v>1029</v>
      </c>
      <c r="I1494" s="484" t="s">
        <v>635</v>
      </c>
      <c r="J1494" s="487" t="s">
        <v>636</v>
      </c>
      <c r="K1494" s="394" t="str">
        <f t="shared" si="81"/>
        <v>XXX153830001XX</v>
      </c>
      <c r="L1494" s="391"/>
      <c r="M1494" s="484" t="s">
        <v>712</v>
      </c>
      <c r="N1494" s="487">
        <v>2296647</v>
      </c>
      <c r="O1494" s="487" t="s">
        <v>2094</v>
      </c>
      <c r="P1494" s="398" t="s">
        <v>868</v>
      </c>
    </row>
    <row r="1495" spans="1:16" s="401" customFormat="1" ht="48">
      <c r="A1495" s="429">
        <f t="shared" si="79"/>
        <v>1492</v>
      </c>
      <c r="B1495" s="387">
        <v>46149</v>
      </c>
      <c r="C1495" s="388">
        <v>46113</v>
      </c>
      <c r="D1495" s="389" t="s">
        <v>248</v>
      </c>
      <c r="E1495" s="484" t="s">
        <v>1550</v>
      </c>
      <c r="F1495" s="491">
        <v>86.63</v>
      </c>
      <c r="G1495" s="486" t="s">
        <v>3059</v>
      </c>
      <c r="H1495" s="389" t="s">
        <v>736</v>
      </c>
      <c r="I1495" s="484" t="s">
        <v>635</v>
      </c>
      <c r="J1495" s="487" t="s">
        <v>636</v>
      </c>
      <c r="K1495" s="394" t="str">
        <f t="shared" si="81"/>
        <v>XXX153830001XX</v>
      </c>
      <c r="L1495" s="391"/>
      <c r="M1495" s="484" t="s">
        <v>712</v>
      </c>
      <c r="N1495" s="487">
        <v>37374</v>
      </c>
      <c r="O1495" s="487" t="s">
        <v>2092</v>
      </c>
      <c r="P1495" s="398" t="s">
        <v>868</v>
      </c>
    </row>
    <row r="1496" spans="1:16" s="401" customFormat="1" ht="48">
      <c r="A1496" s="429">
        <f t="shared" si="79"/>
        <v>1493</v>
      </c>
      <c r="B1496" s="387">
        <v>46149</v>
      </c>
      <c r="C1496" s="388">
        <v>46113</v>
      </c>
      <c r="D1496" s="389" t="s">
        <v>248</v>
      </c>
      <c r="E1496" s="59" t="s">
        <v>170</v>
      </c>
      <c r="F1496" s="491">
        <v>87.26</v>
      </c>
      <c r="G1496" s="486" t="s">
        <v>3000</v>
      </c>
      <c r="H1496" s="392" t="s">
        <v>278</v>
      </c>
      <c r="I1496" s="484" t="s">
        <v>635</v>
      </c>
      <c r="J1496" s="487" t="s">
        <v>636</v>
      </c>
      <c r="K1496" s="394" t="str">
        <f t="shared" si="81"/>
        <v>XXX153830001XX</v>
      </c>
      <c r="L1496" s="391"/>
      <c r="M1496" s="484" t="s">
        <v>712</v>
      </c>
      <c r="N1496" s="487">
        <v>41</v>
      </c>
      <c r="O1496" s="487" t="s">
        <v>2100</v>
      </c>
      <c r="P1496" s="398" t="s">
        <v>868</v>
      </c>
    </row>
    <row r="1497" spans="1:16" s="401" customFormat="1" ht="48">
      <c r="A1497" s="429">
        <f t="shared" si="79"/>
        <v>1494</v>
      </c>
      <c r="B1497" s="387">
        <v>46149</v>
      </c>
      <c r="C1497" s="388">
        <v>46113</v>
      </c>
      <c r="D1497" s="389" t="s">
        <v>248</v>
      </c>
      <c r="E1497" s="484" t="s">
        <v>1550</v>
      </c>
      <c r="F1497" s="491">
        <v>69.3</v>
      </c>
      <c r="G1497" s="486" t="s">
        <v>3060</v>
      </c>
      <c r="H1497" s="389" t="s">
        <v>736</v>
      </c>
      <c r="I1497" s="484" t="s">
        <v>635</v>
      </c>
      <c r="J1497" s="487" t="s">
        <v>636</v>
      </c>
      <c r="K1497" s="394" t="str">
        <f t="shared" si="81"/>
        <v>XXX153830001XX</v>
      </c>
      <c r="L1497" s="391"/>
      <c r="M1497" s="484" t="s">
        <v>712</v>
      </c>
      <c r="N1497" s="487">
        <v>4246</v>
      </c>
      <c r="O1497" s="487" t="s">
        <v>2097</v>
      </c>
      <c r="P1497" s="398" t="s">
        <v>868</v>
      </c>
    </row>
    <row r="1498" spans="1:16" s="401" customFormat="1" ht="48">
      <c r="A1498" s="429">
        <f t="shared" si="79"/>
        <v>1495</v>
      </c>
      <c r="B1498" s="387">
        <v>46149</v>
      </c>
      <c r="C1498" s="388">
        <v>46113</v>
      </c>
      <c r="D1498" s="389" t="s">
        <v>248</v>
      </c>
      <c r="E1498" s="484" t="s">
        <v>1552</v>
      </c>
      <c r="F1498" s="491">
        <v>538.67999999999995</v>
      </c>
      <c r="G1498" s="486" t="s">
        <v>3061</v>
      </c>
      <c r="H1498" s="389" t="s">
        <v>736</v>
      </c>
      <c r="I1498" s="484" t="s">
        <v>635</v>
      </c>
      <c r="J1498" s="487" t="s">
        <v>636</v>
      </c>
      <c r="K1498" s="394" t="str">
        <f t="shared" si="81"/>
        <v>XXX153830001XX</v>
      </c>
      <c r="L1498" s="391"/>
      <c r="M1498" s="484" t="s">
        <v>712</v>
      </c>
      <c r="N1498" s="487">
        <v>823</v>
      </c>
      <c r="O1498" s="487" t="s">
        <v>2100</v>
      </c>
      <c r="P1498" s="398" t="s">
        <v>868</v>
      </c>
    </row>
    <row r="1499" spans="1:16" s="401" customFormat="1" ht="36">
      <c r="A1499" s="429">
        <f t="shared" si="79"/>
        <v>1496</v>
      </c>
      <c r="B1499" s="387">
        <v>46149</v>
      </c>
      <c r="C1499" s="388">
        <v>46113</v>
      </c>
      <c r="D1499" s="389" t="s">
        <v>248</v>
      </c>
      <c r="E1499" s="484" t="s">
        <v>601</v>
      </c>
      <c r="F1499" s="491">
        <v>574.22</v>
      </c>
      <c r="G1499" s="486" t="s">
        <v>3062</v>
      </c>
      <c r="H1499" s="389" t="s">
        <v>278</v>
      </c>
      <c r="I1499" s="484" t="s">
        <v>635</v>
      </c>
      <c r="J1499" s="487" t="s">
        <v>636</v>
      </c>
      <c r="K1499" s="394" t="str">
        <f t="shared" si="81"/>
        <v>XXX153830001XX</v>
      </c>
      <c r="L1499" s="391"/>
      <c r="M1499" s="484" t="s">
        <v>712</v>
      </c>
      <c r="N1499" s="487">
        <v>212</v>
      </c>
      <c r="O1499" s="487" t="s">
        <v>2100</v>
      </c>
      <c r="P1499" s="398" t="s">
        <v>868</v>
      </c>
    </row>
    <row r="1500" spans="1:16" s="401" customFormat="1" ht="36">
      <c r="A1500" s="429">
        <f t="shared" si="79"/>
        <v>1497</v>
      </c>
      <c r="B1500" s="387">
        <v>46149</v>
      </c>
      <c r="C1500" s="388">
        <v>46113</v>
      </c>
      <c r="D1500" s="389" t="s">
        <v>248</v>
      </c>
      <c r="E1500" s="484" t="s">
        <v>758</v>
      </c>
      <c r="F1500" s="491">
        <v>198.2</v>
      </c>
      <c r="G1500" s="486" t="s">
        <v>3063</v>
      </c>
      <c r="H1500" s="389" t="s">
        <v>738</v>
      </c>
      <c r="I1500" s="484" t="s">
        <v>635</v>
      </c>
      <c r="J1500" s="487" t="s">
        <v>636</v>
      </c>
      <c r="K1500" s="394" t="str">
        <f t="shared" si="81"/>
        <v>XXX153830001XX</v>
      </c>
      <c r="L1500" s="391"/>
      <c r="M1500" s="484" t="s">
        <v>712</v>
      </c>
      <c r="N1500" s="487">
        <v>446</v>
      </c>
      <c r="O1500" s="487" t="s">
        <v>2097</v>
      </c>
      <c r="P1500" s="398" t="s">
        <v>868</v>
      </c>
    </row>
    <row r="1501" spans="1:16" s="401" customFormat="1" ht="60">
      <c r="A1501" s="429">
        <f t="shared" si="79"/>
        <v>1498</v>
      </c>
      <c r="B1501" s="387">
        <v>46149</v>
      </c>
      <c r="C1501" s="388">
        <v>46113</v>
      </c>
      <c r="D1501" s="389" t="s">
        <v>248</v>
      </c>
      <c r="E1501" s="484" t="s">
        <v>610</v>
      </c>
      <c r="F1501" s="491">
        <v>1431.4</v>
      </c>
      <c r="G1501" s="486" t="s">
        <v>2708</v>
      </c>
      <c r="H1501" s="389" t="s">
        <v>278</v>
      </c>
      <c r="I1501" s="484" t="s">
        <v>686</v>
      </c>
      <c r="J1501" s="487" t="s">
        <v>687</v>
      </c>
      <c r="K1501" s="394" t="str">
        <f t="shared" si="81"/>
        <v>XXX900500001XX</v>
      </c>
      <c r="L1501" s="391"/>
      <c r="M1501" s="484" t="s">
        <v>707</v>
      </c>
      <c r="N1501" s="487">
        <v>37441</v>
      </c>
      <c r="O1501" s="487" t="s">
        <v>2102</v>
      </c>
      <c r="P1501" s="398" t="s">
        <v>574</v>
      </c>
    </row>
    <row r="1502" spans="1:16" s="401" customFormat="1" ht="36">
      <c r="A1502" s="429">
        <f t="shared" si="79"/>
        <v>1499</v>
      </c>
      <c r="B1502" s="387">
        <v>46149</v>
      </c>
      <c r="C1502" s="388">
        <v>46113</v>
      </c>
      <c r="D1502" s="389" t="s">
        <v>248</v>
      </c>
      <c r="E1502" s="484" t="s">
        <v>592</v>
      </c>
      <c r="F1502" s="491">
        <v>24</v>
      </c>
      <c r="G1502" s="486" t="s">
        <v>3064</v>
      </c>
      <c r="H1502" s="389" t="s">
        <v>737</v>
      </c>
      <c r="I1502" s="484" t="s">
        <v>635</v>
      </c>
      <c r="J1502" s="487" t="s">
        <v>636</v>
      </c>
      <c r="K1502" s="394" t="str">
        <f t="shared" si="81"/>
        <v>XXX153830001XX</v>
      </c>
      <c r="L1502" s="391"/>
      <c r="M1502" s="484" t="s">
        <v>712</v>
      </c>
      <c r="N1502" s="487">
        <v>205</v>
      </c>
      <c r="O1502" s="487" t="s">
        <v>2103</v>
      </c>
      <c r="P1502" s="398" t="s">
        <v>868</v>
      </c>
    </row>
    <row r="1503" spans="1:16" s="401" customFormat="1" ht="48">
      <c r="A1503" s="429">
        <f t="shared" si="79"/>
        <v>1500</v>
      </c>
      <c r="B1503" s="387">
        <v>46149</v>
      </c>
      <c r="C1503" s="388">
        <v>46113</v>
      </c>
      <c r="D1503" s="389" t="s">
        <v>248</v>
      </c>
      <c r="E1503" s="60" t="s">
        <v>171</v>
      </c>
      <c r="F1503" s="491">
        <v>37.21</v>
      </c>
      <c r="G1503" s="486" t="s">
        <v>3065</v>
      </c>
      <c r="H1503" s="389" t="s">
        <v>278</v>
      </c>
      <c r="I1503" s="484" t="s">
        <v>635</v>
      </c>
      <c r="J1503" s="487" t="s">
        <v>636</v>
      </c>
      <c r="K1503" s="394" t="str">
        <f t="shared" si="81"/>
        <v>XXX153830001XX</v>
      </c>
      <c r="L1503" s="391"/>
      <c r="M1503" s="484" t="s">
        <v>712</v>
      </c>
      <c r="N1503" s="487">
        <v>39</v>
      </c>
      <c r="O1503" s="487" t="s">
        <v>2095</v>
      </c>
      <c r="P1503" s="398" t="s">
        <v>868</v>
      </c>
    </row>
    <row r="1504" spans="1:16" s="401" customFormat="1" ht="60">
      <c r="A1504" s="429">
        <f t="shared" si="79"/>
        <v>1501</v>
      </c>
      <c r="B1504" s="387">
        <v>46149</v>
      </c>
      <c r="C1504" s="388">
        <v>46113</v>
      </c>
      <c r="D1504" s="389" t="s">
        <v>248</v>
      </c>
      <c r="E1504" s="484" t="s">
        <v>1552</v>
      </c>
      <c r="F1504" s="491">
        <v>314.45</v>
      </c>
      <c r="G1504" s="486" t="s">
        <v>3066</v>
      </c>
      <c r="H1504" s="389" t="s">
        <v>736</v>
      </c>
      <c r="I1504" s="484" t="s">
        <v>635</v>
      </c>
      <c r="J1504" s="487" t="s">
        <v>636</v>
      </c>
      <c r="K1504" s="394" t="str">
        <f t="shared" si="81"/>
        <v>XXX153830001XX</v>
      </c>
      <c r="L1504" s="391"/>
      <c r="M1504" s="484" t="s">
        <v>712</v>
      </c>
      <c r="N1504" s="487">
        <v>33</v>
      </c>
      <c r="O1504" s="487" t="s">
        <v>2103</v>
      </c>
      <c r="P1504" s="398" t="s">
        <v>868</v>
      </c>
    </row>
    <row r="1505" spans="1:16" s="401" customFormat="1" ht="84">
      <c r="A1505" s="429">
        <f t="shared" si="79"/>
        <v>1502</v>
      </c>
      <c r="B1505" s="387">
        <v>46149</v>
      </c>
      <c r="C1505" s="388">
        <v>46113</v>
      </c>
      <c r="D1505" s="389" t="s">
        <v>248</v>
      </c>
      <c r="E1505" s="484" t="s">
        <v>598</v>
      </c>
      <c r="F1505" s="491">
        <v>84</v>
      </c>
      <c r="G1505" s="486" t="s">
        <v>3067</v>
      </c>
      <c r="H1505" s="389" t="s">
        <v>736</v>
      </c>
      <c r="I1505" s="484" t="s">
        <v>635</v>
      </c>
      <c r="J1505" s="487" t="s">
        <v>636</v>
      </c>
      <c r="K1505" s="394" t="str">
        <f t="shared" si="81"/>
        <v>XXX153830001XX</v>
      </c>
      <c r="L1505" s="391"/>
      <c r="M1505" s="484" t="s">
        <v>712</v>
      </c>
      <c r="N1505" s="487">
        <v>71</v>
      </c>
      <c r="O1505" s="487" t="s">
        <v>2103</v>
      </c>
      <c r="P1505" s="398" t="s">
        <v>868</v>
      </c>
    </row>
    <row r="1506" spans="1:16" s="401" customFormat="1" ht="72">
      <c r="A1506" s="429">
        <f t="shared" si="79"/>
        <v>1503</v>
      </c>
      <c r="B1506" s="387">
        <v>46149</v>
      </c>
      <c r="C1506" s="388">
        <v>46113</v>
      </c>
      <c r="D1506" s="389" t="s">
        <v>248</v>
      </c>
      <c r="E1506" s="484" t="s">
        <v>1550</v>
      </c>
      <c r="F1506" s="491">
        <v>138.6</v>
      </c>
      <c r="G1506" s="486" t="s">
        <v>3068</v>
      </c>
      <c r="H1506" s="389" t="s">
        <v>736</v>
      </c>
      <c r="I1506" s="484" t="s">
        <v>635</v>
      </c>
      <c r="J1506" s="487" t="s">
        <v>636</v>
      </c>
      <c r="K1506" s="394" t="str">
        <f t="shared" si="81"/>
        <v>XXX153830001XX</v>
      </c>
      <c r="L1506" s="391"/>
      <c r="M1506" s="484" t="s">
        <v>712</v>
      </c>
      <c r="N1506" s="487">
        <v>4516</v>
      </c>
      <c r="O1506" s="487" t="s">
        <v>2102</v>
      </c>
      <c r="P1506" s="398" t="s">
        <v>868</v>
      </c>
    </row>
    <row r="1507" spans="1:16" s="401" customFormat="1" ht="72">
      <c r="A1507" s="429">
        <f t="shared" si="79"/>
        <v>1504</v>
      </c>
      <c r="B1507" s="387">
        <v>46149</v>
      </c>
      <c r="C1507" s="388">
        <v>46113</v>
      </c>
      <c r="D1507" s="389" t="s">
        <v>248</v>
      </c>
      <c r="E1507" s="484" t="s">
        <v>1550</v>
      </c>
      <c r="F1507" s="491">
        <v>138.6</v>
      </c>
      <c r="G1507" s="486" t="s">
        <v>3068</v>
      </c>
      <c r="H1507" s="389" t="s">
        <v>736</v>
      </c>
      <c r="I1507" s="484" t="s">
        <v>635</v>
      </c>
      <c r="J1507" s="487" t="s">
        <v>636</v>
      </c>
      <c r="K1507" s="394" t="str">
        <f t="shared" si="81"/>
        <v>XXX153830001XX</v>
      </c>
      <c r="L1507" s="391"/>
      <c r="M1507" s="484" t="s">
        <v>712</v>
      </c>
      <c r="N1507" s="487">
        <v>45144</v>
      </c>
      <c r="O1507" s="487" t="s">
        <v>2104</v>
      </c>
      <c r="P1507" s="398" t="s">
        <v>868</v>
      </c>
    </row>
    <row r="1508" spans="1:16" s="401" customFormat="1" ht="65.25" customHeight="1">
      <c r="A1508" s="429">
        <f t="shared" si="79"/>
        <v>1505</v>
      </c>
      <c r="B1508" s="387">
        <v>46149</v>
      </c>
      <c r="C1508" s="388">
        <v>46113</v>
      </c>
      <c r="D1508" s="389" t="s">
        <v>248</v>
      </c>
      <c r="E1508" s="484" t="s">
        <v>1550</v>
      </c>
      <c r="F1508" s="491">
        <v>138.6</v>
      </c>
      <c r="G1508" s="486" t="s">
        <v>3068</v>
      </c>
      <c r="H1508" s="389" t="s">
        <v>736</v>
      </c>
      <c r="I1508" s="484" t="s">
        <v>635</v>
      </c>
      <c r="J1508" s="487" t="s">
        <v>636</v>
      </c>
      <c r="K1508" s="394" t="str">
        <f t="shared" si="81"/>
        <v>XXX153830001XX</v>
      </c>
      <c r="L1508" s="403"/>
      <c r="M1508" s="484" t="s">
        <v>712</v>
      </c>
      <c r="N1508" s="487">
        <v>4515</v>
      </c>
      <c r="O1508" s="487" t="s">
        <v>2102</v>
      </c>
      <c r="P1508" s="398" t="s">
        <v>868</v>
      </c>
    </row>
    <row r="1509" spans="1:16" s="401" customFormat="1" ht="36">
      <c r="A1509" s="429">
        <f t="shared" ref="A1509:A1568" si="82">IF(B1509="","",ROW()-ROW($A$3))</f>
        <v>1506</v>
      </c>
      <c r="B1509" s="387">
        <v>46149</v>
      </c>
      <c r="C1509" s="388">
        <v>46113</v>
      </c>
      <c r="D1509" s="389" t="s">
        <v>248</v>
      </c>
      <c r="E1509" s="484" t="s">
        <v>1551</v>
      </c>
      <c r="F1509" s="491">
        <v>50.8</v>
      </c>
      <c r="G1509" s="486" t="s">
        <v>3069</v>
      </c>
      <c r="H1509" s="389" t="s">
        <v>737</v>
      </c>
      <c r="I1509" s="484" t="s">
        <v>635</v>
      </c>
      <c r="J1509" s="487" t="s">
        <v>636</v>
      </c>
      <c r="K1509" s="394" t="str">
        <f t="shared" si="81"/>
        <v>XXX153830001XX</v>
      </c>
      <c r="L1509" s="391"/>
      <c r="M1509" s="484" t="s">
        <v>712</v>
      </c>
      <c r="N1509" s="487">
        <v>53</v>
      </c>
      <c r="O1509" s="487" t="s">
        <v>2104</v>
      </c>
      <c r="P1509" s="398" t="s">
        <v>868</v>
      </c>
    </row>
    <row r="1510" spans="1:16" s="401" customFormat="1" ht="103.5" customHeight="1">
      <c r="A1510" s="429">
        <f t="shared" si="82"/>
        <v>1507</v>
      </c>
      <c r="B1510" s="387">
        <v>46149</v>
      </c>
      <c r="C1510" s="388">
        <v>46113</v>
      </c>
      <c r="D1510" s="389" t="s">
        <v>248</v>
      </c>
      <c r="E1510" s="484" t="s">
        <v>758</v>
      </c>
      <c r="F1510" s="491">
        <v>5129.37</v>
      </c>
      <c r="G1510" s="486" t="s">
        <v>3070</v>
      </c>
      <c r="H1510" s="392" t="s">
        <v>738</v>
      </c>
      <c r="I1510" s="484" t="s">
        <v>635</v>
      </c>
      <c r="J1510" s="487" t="s">
        <v>636</v>
      </c>
      <c r="K1510" s="394" t="str">
        <f t="shared" ref="K1510:K1564" si="83">IF(J1510="","",IF(LEN(J1510)&gt;14,IF(ISBLANK(J1510),"",J1510),REPLACE(REPLACE(J1510,1,3,"XXX"),13,2,"XX")))</f>
        <v>XXX153830001XX</v>
      </c>
      <c r="L1510" s="391"/>
      <c r="M1510" s="484" t="s">
        <v>712</v>
      </c>
      <c r="N1510" s="487">
        <v>280</v>
      </c>
      <c r="O1510" s="487" t="s">
        <v>2103</v>
      </c>
      <c r="P1510" s="398" t="s">
        <v>868</v>
      </c>
    </row>
    <row r="1511" spans="1:16" s="401" customFormat="1" ht="36">
      <c r="A1511" s="429">
        <f t="shared" si="82"/>
        <v>1508</v>
      </c>
      <c r="B1511" s="387">
        <v>46149</v>
      </c>
      <c r="C1511" s="388">
        <v>46113</v>
      </c>
      <c r="D1511" s="389" t="s">
        <v>248</v>
      </c>
      <c r="E1511" s="484" t="s">
        <v>1551</v>
      </c>
      <c r="F1511" s="491">
        <v>39.93</v>
      </c>
      <c r="G1511" s="486" t="s">
        <v>3071</v>
      </c>
      <c r="H1511" s="389" t="s">
        <v>737</v>
      </c>
      <c r="I1511" s="484" t="s">
        <v>635</v>
      </c>
      <c r="J1511" s="487" t="s">
        <v>636</v>
      </c>
      <c r="K1511" s="394" t="str">
        <f t="shared" si="83"/>
        <v>XXX153830001XX</v>
      </c>
      <c r="L1511" s="391"/>
      <c r="M1511" s="484" t="s">
        <v>712</v>
      </c>
      <c r="N1511" s="487">
        <v>52</v>
      </c>
      <c r="O1511" s="487" t="s">
        <v>2104</v>
      </c>
      <c r="P1511" s="398" t="s">
        <v>868</v>
      </c>
    </row>
    <row r="1512" spans="1:16" s="401" customFormat="1" ht="36">
      <c r="A1512" s="429">
        <f t="shared" si="82"/>
        <v>1509</v>
      </c>
      <c r="B1512" s="387">
        <v>46149</v>
      </c>
      <c r="C1512" s="388">
        <v>46113</v>
      </c>
      <c r="D1512" s="389" t="s">
        <v>248</v>
      </c>
      <c r="E1512" s="484" t="s">
        <v>597</v>
      </c>
      <c r="F1512" s="491">
        <v>3042.62</v>
      </c>
      <c r="G1512" s="486" t="s">
        <v>2709</v>
      </c>
      <c r="H1512" s="389" t="s">
        <v>278</v>
      </c>
      <c r="I1512" s="484" t="s">
        <v>2557</v>
      </c>
      <c r="J1512" s="487" t="s">
        <v>2558</v>
      </c>
      <c r="K1512" s="394" t="str">
        <f t="shared" si="83"/>
        <v>XXX028330001XX</v>
      </c>
      <c r="L1512" s="391"/>
      <c r="M1512" s="484" t="s">
        <v>708</v>
      </c>
      <c r="N1512" s="487">
        <v>60811</v>
      </c>
      <c r="O1512" s="487" t="s">
        <v>2105</v>
      </c>
      <c r="P1512" s="398" t="s">
        <v>574</v>
      </c>
    </row>
    <row r="1513" spans="1:16" s="401" customFormat="1" ht="48">
      <c r="A1513" s="429">
        <f t="shared" si="82"/>
        <v>1510</v>
      </c>
      <c r="B1513" s="387">
        <v>46149</v>
      </c>
      <c r="C1513" s="388">
        <v>46113</v>
      </c>
      <c r="D1513" s="389" t="s">
        <v>248</v>
      </c>
      <c r="E1513" s="484" t="s">
        <v>590</v>
      </c>
      <c r="F1513" s="491">
        <v>173.34</v>
      </c>
      <c r="G1513" s="486" t="s">
        <v>1635</v>
      </c>
      <c r="H1513" s="389" t="s">
        <v>736</v>
      </c>
      <c r="I1513" s="484" t="s">
        <v>670</v>
      </c>
      <c r="J1513" s="487" t="s">
        <v>671</v>
      </c>
      <c r="K1513" s="394" t="str">
        <f t="shared" si="83"/>
        <v>XXX902520003XX</v>
      </c>
      <c r="L1513" s="391"/>
      <c r="M1513" s="484" t="s">
        <v>704</v>
      </c>
      <c r="N1513" s="487">
        <v>2414981</v>
      </c>
      <c r="O1513" s="487" t="s">
        <v>2106</v>
      </c>
      <c r="P1513" s="398" t="s">
        <v>868</v>
      </c>
    </row>
    <row r="1514" spans="1:16" s="401" customFormat="1" ht="36">
      <c r="A1514" s="429">
        <f t="shared" si="82"/>
        <v>1511</v>
      </c>
      <c r="B1514" s="387">
        <v>46149</v>
      </c>
      <c r="C1514" s="388">
        <v>46143</v>
      </c>
      <c r="D1514" s="389" t="s">
        <v>248</v>
      </c>
      <c r="E1514" s="484" t="s">
        <v>593</v>
      </c>
      <c r="F1514" s="491">
        <v>26460</v>
      </c>
      <c r="G1514" s="486" t="s">
        <v>2710</v>
      </c>
      <c r="H1514" s="389" t="s">
        <v>736</v>
      </c>
      <c r="I1514" s="484" t="s">
        <v>1061</v>
      </c>
      <c r="J1514" s="487" t="s">
        <v>1062</v>
      </c>
      <c r="K1514" s="394" t="str">
        <f t="shared" si="83"/>
        <v>XXX225430001XX</v>
      </c>
      <c r="L1514" s="391"/>
      <c r="M1514" s="484" t="s">
        <v>707</v>
      </c>
      <c r="N1514" s="487">
        <v>115</v>
      </c>
      <c r="O1514" s="487" t="s">
        <v>2526</v>
      </c>
      <c r="P1514" s="398" t="s">
        <v>868</v>
      </c>
    </row>
    <row r="1515" spans="1:16" s="401" customFormat="1" ht="48">
      <c r="A1515" s="429">
        <f t="shared" si="82"/>
        <v>1512</v>
      </c>
      <c r="B1515" s="387">
        <v>46149</v>
      </c>
      <c r="C1515" s="388">
        <v>46143</v>
      </c>
      <c r="D1515" s="389" t="s">
        <v>248</v>
      </c>
      <c r="E1515" s="60" t="s">
        <v>78</v>
      </c>
      <c r="F1515" s="491">
        <v>700</v>
      </c>
      <c r="G1515" s="486" t="s">
        <v>2711</v>
      </c>
      <c r="H1515" s="392" t="s">
        <v>737</v>
      </c>
      <c r="I1515" s="484" t="s">
        <v>2160</v>
      </c>
      <c r="J1515" s="487" t="s">
        <v>2161</v>
      </c>
      <c r="K1515" s="394" t="str">
        <f t="shared" si="83"/>
        <v>XXX450660001XX</v>
      </c>
      <c r="L1515" s="391"/>
      <c r="M1515" s="484" t="s">
        <v>719</v>
      </c>
      <c r="N1515" s="487">
        <v>23</v>
      </c>
      <c r="O1515" s="487" t="s">
        <v>2118</v>
      </c>
      <c r="P1515" s="398" t="s">
        <v>868</v>
      </c>
    </row>
    <row r="1516" spans="1:16" s="401" customFormat="1" ht="72">
      <c r="A1516" s="429">
        <f t="shared" si="82"/>
        <v>1513</v>
      </c>
      <c r="B1516" s="387">
        <v>46149</v>
      </c>
      <c r="C1516" s="388">
        <v>46143</v>
      </c>
      <c r="D1516" s="389" t="s">
        <v>248</v>
      </c>
      <c r="E1516" s="484" t="s">
        <v>600</v>
      </c>
      <c r="F1516" s="491">
        <v>2717.68</v>
      </c>
      <c r="G1516" s="486" t="s">
        <v>1351</v>
      </c>
      <c r="H1516" s="389" t="s">
        <v>737</v>
      </c>
      <c r="I1516" s="484" t="s">
        <v>1142</v>
      </c>
      <c r="J1516" s="487" t="s">
        <v>1143</v>
      </c>
      <c r="K1516" s="394" t="str">
        <f t="shared" si="83"/>
        <v>XXX410700001XX</v>
      </c>
      <c r="L1516" s="391"/>
      <c r="M1516" s="484" t="s">
        <v>708</v>
      </c>
      <c r="N1516" s="487">
        <v>48</v>
      </c>
      <c r="O1516" s="487" t="s">
        <v>2118</v>
      </c>
      <c r="P1516" s="398" t="s">
        <v>574</v>
      </c>
    </row>
    <row r="1517" spans="1:16" s="401" customFormat="1" ht="36">
      <c r="A1517" s="429">
        <f t="shared" si="82"/>
        <v>1514</v>
      </c>
      <c r="B1517" s="387">
        <v>46149</v>
      </c>
      <c r="C1517" s="388">
        <v>46113</v>
      </c>
      <c r="D1517" s="389" t="s">
        <v>360</v>
      </c>
      <c r="E1517" s="389" t="s">
        <v>360</v>
      </c>
      <c r="F1517" s="491">
        <v>2912.8</v>
      </c>
      <c r="G1517" s="486" t="s">
        <v>2947</v>
      </c>
      <c r="H1517" s="389" t="s">
        <v>280</v>
      </c>
      <c r="I1517" s="394" t="s">
        <v>744</v>
      </c>
      <c r="J1517" s="455">
        <v>7837375000150</v>
      </c>
      <c r="K1517" s="394"/>
      <c r="L1517" s="391"/>
      <c r="M1517" s="484"/>
      <c r="N1517" s="487">
        <v>42026</v>
      </c>
      <c r="O1517" s="488">
        <v>46142</v>
      </c>
      <c r="P1517" s="398" t="s">
        <v>574</v>
      </c>
    </row>
    <row r="1518" spans="1:16" s="401" customFormat="1" ht="36">
      <c r="A1518" s="429">
        <f t="shared" si="82"/>
        <v>1515</v>
      </c>
      <c r="B1518" s="387">
        <v>46149</v>
      </c>
      <c r="C1518" s="388">
        <v>46143</v>
      </c>
      <c r="D1518" s="389" t="s">
        <v>248</v>
      </c>
      <c r="E1518" s="59" t="s">
        <v>170</v>
      </c>
      <c r="F1518" s="491">
        <v>599.62</v>
      </c>
      <c r="G1518" s="486" t="s">
        <v>2712</v>
      </c>
      <c r="H1518" s="392" t="s">
        <v>278</v>
      </c>
      <c r="I1518" s="484" t="s">
        <v>651</v>
      </c>
      <c r="J1518" s="487" t="s">
        <v>652</v>
      </c>
      <c r="K1518" s="394" t="str">
        <f t="shared" si="83"/>
        <v>XXX778580001XX</v>
      </c>
      <c r="L1518" s="391"/>
      <c r="M1518" s="484" t="s">
        <v>704</v>
      </c>
      <c r="N1518" s="487">
        <v>1040</v>
      </c>
      <c r="O1518" s="487" t="s">
        <v>2546</v>
      </c>
      <c r="P1518" s="398" t="s">
        <v>574</v>
      </c>
    </row>
    <row r="1519" spans="1:16" s="401" customFormat="1" ht="84">
      <c r="A1519" s="429">
        <f t="shared" si="82"/>
        <v>1516</v>
      </c>
      <c r="B1519" s="387">
        <v>46149</v>
      </c>
      <c r="C1519" s="388">
        <v>46054</v>
      </c>
      <c r="D1519" s="389" t="s">
        <v>248</v>
      </c>
      <c r="E1519" s="484" t="s">
        <v>598</v>
      </c>
      <c r="F1519" s="491">
        <v>5017.16</v>
      </c>
      <c r="G1519" s="486" t="s">
        <v>2713</v>
      </c>
      <c r="H1519" s="389" t="s">
        <v>736</v>
      </c>
      <c r="I1519" s="484" t="s">
        <v>2559</v>
      </c>
      <c r="J1519" s="487" t="s">
        <v>2560</v>
      </c>
      <c r="K1519" s="394" t="str">
        <f t="shared" si="83"/>
        <v>XXX347260001XX</v>
      </c>
      <c r="L1519" s="391"/>
      <c r="M1519" s="484" t="s">
        <v>707</v>
      </c>
      <c r="N1519" s="487">
        <v>15</v>
      </c>
      <c r="O1519" s="487" t="s">
        <v>1197</v>
      </c>
      <c r="P1519" s="398" t="s">
        <v>868</v>
      </c>
    </row>
    <row r="1520" spans="1:16" s="401" customFormat="1" ht="36">
      <c r="A1520" s="429">
        <f t="shared" si="82"/>
        <v>1517</v>
      </c>
      <c r="B1520" s="387">
        <v>46149</v>
      </c>
      <c r="C1520" s="388">
        <v>46113</v>
      </c>
      <c r="D1520" s="389" t="s">
        <v>248</v>
      </c>
      <c r="E1520" s="484" t="s">
        <v>599</v>
      </c>
      <c r="F1520" s="491">
        <v>1359.03</v>
      </c>
      <c r="G1520" s="486" t="s">
        <v>2714</v>
      </c>
      <c r="H1520" s="389" t="s">
        <v>736</v>
      </c>
      <c r="I1520" s="484" t="s">
        <v>1461</v>
      </c>
      <c r="J1520" s="487" t="s">
        <v>1462</v>
      </c>
      <c r="K1520" s="394" t="str">
        <f t="shared" si="83"/>
        <v>XXX52485672 XX</v>
      </c>
      <c r="L1520" s="391"/>
      <c r="M1520" s="484" t="s">
        <v>707</v>
      </c>
      <c r="N1520" s="487">
        <v>60</v>
      </c>
      <c r="O1520" s="487" t="s">
        <v>2118</v>
      </c>
      <c r="P1520" s="398" t="s">
        <v>868</v>
      </c>
    </row>
    <row r="1521" spans="1:16" s="401" customFormat="1" ht="96">
      <c r="A1521" s="429">
        <f t="shared" si="82"/>
        <v>1518</v>
      </c>
      <c r="B1521" s="387">
        <v>46149</v>
      </c>
      <c r="C1521" s="388">
        <v>46113</v>
      </c>
      <c r="D1521" s="389" t="s">
        <v>248</v>
      </c>
      <c r="E1521" s="484" t="s">
        <v>595</v>
      </c>
      <c r="F1521" s="491">
        <v>1788.95</v>
      </c>
      <c r="G1521" s="486" t="s">
        <v>2715</v>
      </c>
      <c r="H1521" s="392" t="s">
        <v>278</v>
      </c>
      <c r="I1521" s="484" t="s">
        <v>649</v>
      </c>
      <c r="J1521" s="487" t="s">
        <v>650</v>
      </c>
      <c r="K1521" s="394" t="str">
        <f t="shared" si="83"/>
        <v>XXX213490001XX</v>
      </c>
      <c r="L1521" s="391"/>
      <c r="M1521" s="484" t="s">
        <v>707</v>
      </c>
      <c r="N1521" s="487">
        <v>1197</v>
      </c>
      <c r="O1521" s="487" t="s">
        <v>2118</v>
      </c>
      <c r="P1521" s="398" t="s">
        <v>868</v>
      </c>
    </row>
    <row r="1522" spans="1:16" s="401" customFormat="1" ht="102" customHeight="1">
      <c r="A1522" s="429">
        <f t="shared" si="82"/>
        <v>1519</v>
      </c>
      <c r="B1522" s="387">
        <v>46149</v>
      </c>
      <c r="C1522" s="388">
        <v>46113</v>
      </c>
      <c r="D1522" s="389" t="s">
        <v>248</v>
      </c>
      <c r="E1522" s="484" t="s">
        <v>595</v>
      </c>
      <c r="F1522" s="491">
        <v>114.9</v>
      </c>
      <c r="G1522" s="486" t="s">
        <v>3072</v>
      </c>
      <c r="H1522" s="392" t="s">
        <v>278</v>
      </c>
      <c r="I1522" s="484" t="s">
        <v>635</v>
      </c>
      <c r="J1522" s="487" t="s">
        <v>636</v>
      </c>
      <c r="K1522" s="394" t="str">
        <f t="shared" si="83"/>
        <v>XXX153830001XX</v>
      </c>
      <c r="L1522" s="391"/>
      <c r="M1522" s="484" t="s">
        <v>712</v>
      </c>
      <c r="N1522" s="487">
        <v>991</v>
      </c>
      <c r="O1522" s="487" t="s">
        <v>2089</v>
      </c>
      <c r="P1522" s="398" t="s">
        <v>868</v>
      </c>
    </row>
    <row r="1523" spans="1:16" s="401" customFormat="1" ht="96">
      <c r="A1523" s="429">
        <f t="shared" si="82"/>
        <v>1520</v>
      </c>
      <c r="B1523" s="387">
        <v>46149</v>
      </c>
      <c r="C1523" s="388">
        <v>46113</v>
      </c>
      <c r="D1523" s="389" t="s">
        <v>248</v>
      </c>
      <c r="E1523" s="484" t="s">
        <v>595</v>
      </c>
      <c r="F1523" s="491">
        <v>1788.95</v>
      </c>
      <c r="G1523" s="486" t="s">
        <v>2716</v>
      </c>
      <c r="H1523" s="392" t="s">
        <v>278</v>
      </c>
      <c r="I1523" s="484" t="s">
        <v>649</v>
      </c>
      <c r="J1523" s="487" t="s">
        <v>650</v>
      </c>
      <c r="K1523" s="394" t="str">
        <f t="shared" si="83"/>
        <v>XXX213490001XX</v>
      </c>
      <c r="L1523" s="391"/>
      <c r="M1523" s="484" t="s">
        <v>707</v>
      </c>
      <c r="N1523" s="487">
        <v>991</v>
      </c>
      <c r="O1523" s="487" t="s">
        <v>2089</v>
      </c>
      <c r="P1523" s="398" t="s">
        <v>868</v>
      </c>
    </row>
    <row r="1524" spans="1:16" s="401" customFormat="1" ht="36">
      <c r="A1524" s="429">
        <f t="shared" si="82"/>
        <v>1521</v>
      </c>
      <c r="B1524" s="387">
        <v>46149</v>
      </c>
      <c r="C1524" s="388">
        <v>46143</v>
      </c>
      <c r="D1524" s="389" t="s">
        <v>248</v>
      </c>
      <c r="E1524" s="60" t="s">
        <v>171</v>
      </c>
      <c r="F1524" s="491">
        <v>1427.64</v>
      </c>
      <c r="G1524" s="486" t="s">
        <v>2717</v>
      </c>
      <c r="H1524" s="389" t="s">
        <v>278</v>
      </c>
      <c r="I1524" s="484" t="s">
        <v>660</v>
      </c>
      <c r="J1524" s="487" t="s">
        <v>661</v>
      </c>
      <c r="K1524" s="394" t="str">
        <f t="shared" si="83"/>
        <v>XXX500340001XX</v>
      </c>
      <c r="L1524" s="391"/>
      <c r="M1524" s="484" t="s">
        <v>707</v>
      </c>
      <c r="N1524" s="487">
        <v>43</v>
      </c>
      <c r="O1524" s="487" t="s">
        <v>2118</v>
      </c>
      <c r="P1524" s="398" t="s">
        <v>868</v>
      </c>
    </row>
    <row r="1525" spans="1:16" s="401" customFormat="1" ht="36">
      <c r="A1525" s="429">
        <f t="shared" si="82"/>
        <v>1522</v>
      </c>
      <c r="B1525" s="387">
        <v>46149</v>
      </c>
      <c r="C1525" s="388">
        <v>46113</v>
      </c>
      <c r="D1525" s="389" t="s">
        <v>248</v>
      </c>
      <c r="E1525" s="60" t="s">
        <v>171</v>
      </c>
      <c r="F1525" s="491">
        <v>8104.92</v>
      </c>
      <c r="G1525" s="486" t="s">
        <v>2718</v>
      </c>
      <c r="H1525" s="389" t="s">
        <v>278</v>
      </c>
      <c r="I1525" s="484" t="s">
        <v>660</v>
      </c>
      <c r="J1525" s="487" t="s">
        <v>661</v>
      </c>
      <c r="K1525" s="394" t="str">
        <f t="shared" si="83"/>
        <v>XXX500340001XX</v>
      </c>
      <c r="L1525" s="391"/>
      <c r="M1525" s="484" t="s">
        <v>707</v>
      </c>
      <c r="N1525" s="487">
        <v>42</v>
      </c>
      <c r="O1525" s="487" t="s">
        <v>2118</v>
      </c>
      <c r="P1525" s="398" t="s">
        <v>868</v>
      </c>
    </row>
    <row r="1526" spans="1:16" s="401" customFormat="1" ht="36">
      <c r="A1526" s="429">
        <f t="shared" si="82"/>
        <v>1523</v>
      </c>
      <c r="B1526" s="387">
        <v>46149</v>
      </c>
      <c r="C1526" s="388">
        <v>46113</v>
      </c>
      <c r="D1526" s="389" t="s">
        <v>248</v>
      </c>
      <c r="E1526" s="59" t="s">
        <v>167</v>
      </c>
      <c r="F1526" s="491">
        <v>137.9</v>
      </c>
      <c r="G1526" s="486" t="s">
        <v>2719</v>
      </c>
      <c r="H1526" s="389" t="s">
        <v>278</v>
      </c>
      <c r="I1526" s="484" t="s">
        <v>639</v>
      </c>
      <c r="J1526" s="487" t="s">
        <v>640</v>
      </c>
      <c r="K1526" s="394" t="str">
        <f t="shared" si="83"/>
        <v>XXX702290021XX</v>
      </c>
      <c r="L1526" s="391"/>
      <c r="M1526" s="484" t="s">
        <v>717</v>
      </c>
      <c r="N1526" s="487">
        <v>36903098</v>
      </c>
      <c r="O1526" s="487" t="s">
        <v>2547</v>
      </c>
      <c r="P1526" s="398" t="s">
        <v>574</v>
      </c>
    </row>
    <row r="1527" spans="1:16" s="401" customFormat="1" ht="36">
      <c r="A1527" s="429">
        <f t="shared" si="82"/>
        <v>1524</v>
      </c>
      <c r="B1527" s="387">
        <v>46149</v>
      </c>
      <c r="C1527" s="388">
        <v>46113</v>
      </c>
      <c r="D1527" s="389" t="s">
        <v>353</v>
      </c>
      <c r="E1527" s="39" t="s">
        <v>153</v>
      </c>
      <c r="F1527" s="491">
        <v>79551.11</v>
      </c>
      <c r="G1527" s="486" t="s">
        <v>2720</v>
      </c>
      <c r="H1527" s="389" t="s">
        <v>280</v>
      </c>
      <c r="I1527" s="394" t="s">
        <v>744</v>
      </c>
      <c r="J1527" s="455">
        <v>7837375000150</v>
      </c>
      <c r="K1527" s="394" t="str">
        <f t="shared" si="83"/>
        <v>XXX737500015XX</v>
      </c>
      <c r="L1527" s="391"/>
      <c r="M1527" s="484" t="s">
        <v>726</v>
      </c>
      <c r="N1527" s="487">
        <v>30042026</v>
      </c>
      <c r="O1527" s="487" t="s">
        <v>2107</v>
      </c>
      <c r="P1527" s="398" t="s">
        <v>574</v>
      </c>
    </row>
    <row r="1528" spans="1:16" s="401" customFormat="1" ht="36">
      <c r="A1528" s="429">
        <f t="shared" si="82"/>
        <v>1525</v>
      </c>
      <c r="B1528" s="387">
        <v>46149</v>
      </c>
      <c r="C1528" s="388">
        <v>46143</v>
      </c>
      <c r="D1528" s="389" t="s">
        <v>353</v>
      </c>
      <c r="E1528" s="39" t="s">
        <v>153</v>
      </c>
      <c r="F1528" s="491">
        <v>81895.03</v>
      </c>
      <c r="G1528" s="486" t="s">
        <v>2721</v>
      </c>
      <c r="H1528" s="389" t="s">
        <v>280</v>
      </c>
      <c r="I1528" s="394" t="s">
        <v>744</v>
      </c>
      <c r="J1528" s="455">
        <v>7837375000150</v>
      </c>
      <c r="K1528" s="394" t="str">
        <f t="shared" si="83"/>
        <v>XXX737500015XX</v>
      </c>
      <c r="L1528" s="391"/>
      <c r="M1528" s="484" t="s">
        <v>726</v>
      </c>
      <c r="N1528" s="487">
        <v>1052026</v>
      </c>
      <c r="O1528" s="487" t="s">
        <v>2546</v>
      </c>
      <c r="P1528" s="398" t="s">
        <v>574</v>
      </c>
    </row>
    <row r="1529" spans="1:16" s="401" customFormat="1" ht="36">
      <c r="A1529" s="429">
        <f t="shared" si="82"/>
        <v>1526</v>
      </c>
      <c r="B1529" s="387">
        <v>46149</v>
      </c>
      <c r="C1529" s="388">
        <v>46143</v>
      </c>
      <c r="D1529" s="389" t="s">
        <v>353</v>
      </c>
      <c r="E1529" s="39" t="s">
        <v>153</v>
      </c>
      <c r="F1529" s="491">
        <v>81541.83</v>
      </c>
      <c r="G1529" s="486" t="s">
        <v>2722</v>
      </c>
      <c r="H1529" s="389" t="s">
        <v>280</v>
      </c>
      <c r="I1529" s="394" t="s">
        <v>744</v>
      </c>
      <c r="J1529" s="455">
        <v>7837375000150</v>
      </c>
      <c r="K1529" s="394" t="str">
        <f t="shared" si="83"/>
        <v>XXX737500015XX</v>
      </c>
      <c r="L1529" s="391"/>
      <c r="M1529" s="484" t="s">
        <v>726</v>
      </c>
      <c r="N1529" s="487">
        <v>2052026</v>
      </c>
      <c r="O1529" s="487" t="s">
        <v>2526</v>
      </c>
      <c r="P1529" s="398" t="s">
        <v>574</v>
      </c>
    </row>
    <row r="1530" spans="1:16" s="401" customFormat="1" ht="48">
      <c r="A1530" s="429">
        <f t="shared" si="82"/>
        <v>1527</v>
      </c>
      <c r="B1530" s="387">
        <v>46149</v>
      </c>
      <c r="C1530" s="388">
        <v>46113</v>
      </c>
      <c r="D1530" s="389" t="s">
        <v>248</v>
      </c>
      <c r="E1530" s="484" t="s">
        <v>592</v>
      </c>
      <c r="F1530" s="491">
        <v>16.059999999999999</v>
      </c>
      <c r="G1530" s="486" t="s">
        <v>3073</v>
      </c>
      <c r="H1530" s="389" t="s">
        <v>737</v>
      </c>
      <c r="I1530" s="484" t="s">
        <v>635</v>
      </c>
      <c r="J1530" s="487" t="s">
        <v>636</v>
      </c>
      <c r="K1530" s="394" t="str">
        <f t="shared" si="83"/>
        <v>XXX153830001XX</v>
      </c>
      <c r="L1530" s="403"/>
      <c r="M1530" s="484" t="s">
        <v>712</v>
      </c>
      <c r="N1530" s="487">
        <v>354</v>
      </c>
      <c r="O1530" s="487" t="s">
        <v>2100</v>
      </c>
      <c r="P1530" s="398" t="s">
        <v>868</v>
      </c>
    </row>
    <row r="1531" spans="1:16" s="401" customFormat="1" ht="48">
      <c r="A1531" s="429">
        <f t="shared" si="82"/>
        <v>1528</v>
      </c>
      <c r="B1531" s="387">
        <v>46149</v>
      </c>
      <c r="C1531" s="388">
        <v>46113</v>
      </c>
      <c r="D1531" s="389" t="s">
        <v>248</v>
      </c>
      <c r="E1531" s="484" t="s">
        <v>592</v>
      </c>
      <c r="F1531" s="491">
        <v>343.94</v>
      </c>
      <c r="G1531" s="486" t="s">
        <v>2723</v>
      </c>
      <c r="H1531" s="389" t="s">
        <v>737</v>
      </c>
      <c r="I1531" s="484" t="s">
        <v>1463</v>
      </c>
      <c r="J1531" s="487" t="s">
        <v>1464</v>
      </c>
      <c r="K1531" s="394" t="str">
        <f t="shared" si="83"/>
        <v>XXX999310001XX</v>
      </c>
      <c r="L1531" s="403"/>
      <c r="M1531" s="484" t="s">
        <v>913</v>
      </c>
      <c r="N1531" s="487">
        <v>354</v>
      </c>
      <c r="O1531" s="487" t="s">
        <v>2100</v>
      </c>
      <c r="P1531" s="398" t="s">
        <v>868</v>
      </c>
    </row>
    <row r="1532" spans="1:16" s="401" customFormat="1" ht="36">
      <c r="A1532" s="429">
        <f t="shared" si="82"/>
        <v>1529</v>
      </c>
      <c r="B1532" s="387">
        <v>46149</v>
      </c>
      <c r="C1532" s="388">
        <v>46113</v>
      </c>
      <c r="D1532" s="392" t="s">
        <v>360</v>
      </c>
      <c r="E1532" s="392" t="s">
        <v>360</v>
      </c>
      <c r="F1532" s="491">
        <v>6119.03</v>
      </c>
      <c r="G1532" s="486" t="s">
        <v>2947</v>
      </c>
      <c r="H1532" s="389" t="s">
        <v>280</v>
      </c>
      <c r="I1532" s="394" t="s">
        <v>744</v>
      </c>
      <c r="J1532" s="455">
        <v>7837375000150</v>
      </c>
      <c r="K1532" s="394" t="str">
        <f t="shared" si="83"/>
        <v>XXX737500015XX</v>
      </c>
      <c r="L1532" s="403"/>
      <c r="M1532" s="484"/>
      <c r="N1532" s="487">
        <v>42026</v>
      </c>
      <c r="O1532" s="488">
        <v>46142</v>
      </c>
      <c r="P1532" s="398" t="s">
        <v>572</v>
      </c>
    </row>
    <row r="1533" spans="1:16" s="401" customFormat="1" ht="60">
      <c r="A1533" s="429">
        <f t="shared" si="82"/>
        <v>1530</v>
      </c>
      <c r="B1533" s="387">
        <v>46149</v>
      </c>
      <c r="C1533" s="388">
        <v>46113</v>
      </c>
      <c r="D1533" s="389" t="s">
        <v>248</v>
      </c>
      <c r="E1533" s="60" t="s">
        <v>78</v>
      </c>
      <c r="F1533" s="491">
        <v>336</v>
      </c>
      <c r="G1533" s="486" t="s">
        <v>3039</v>
      </c>
      <c r="H1533" s="389" t="s">
        <v>736</v>
      </c>
      <c r="I1533" s="484" t="s">
        <v>635</v>
      </c>
      <c r="J1533" s="487" t="s">
        <v>636</v>
      </c>
      <c r="K1533" s="394" t="str">
        <f t="shared" si="83"/>
        <v>XXX153830001XX</v>
      </c>
      <c r="L1533" s="403"/>
      <c r="M1533" s="484" t="s">
        <v>712</v>
      </c>
      <c r="N1533" s="487">
        <v>16</v>
      </c>
      <c r="O1533" s="487" t="s">
        <v>2096</v>
      </c>
      <c r="P1533" s="398" t="s">
        <v>868</v>
      </c>
    </row>
    <row r="1534" spans="1:16" s="401" customFormat="1" ht="36">
      <c r="A1534" s="429">
        <f t="shared" si="82"/>
        <v>1531</v>
      </c>
      <c r="B1534" s="387">
        <v>46149</v>
      </c>
      <c r="C1534" s="388">
        <v>46143</v>
      </c>
      <c r="D1534" s="389" t="s">
        <v>248</v>
      </c>
      <c r="E1534" s="484" t="s">
        <v>1215</v>
      </c>
      <c r="F1534" s="491">
        <v>902</v>
      </c>
      <c r="G1534" s="486" t="s">
        <v>1319</v>
      </c>
      <c r="H1534" s="389" t="s">
        <v>278</v>
      </c>
      <c r="I1534" s="484" t="s">
        <v>2561</v>
      </c>
      <c r="J1534" s="487" t="s">
        <v>2562</v>
      </c>
      <c r="K1534" s="394" t="str">
        <f t="shared" si="83"/>
        <v>XXX16578784 XX</v>
      </c>
      <c r="L1534" s="403"/>
      <c r="M1534" s="484" t="s">
        <v>708</v>
      </c>
      <c r="N1534" s="487">
        <v>75553</v>
      </c>
      <c r="O1534" s="487" t="s">
        <v>2527</v>
      </c>
      <c r="P1534" s="398" t="s">
        <v>574</v>
      </c>
    </row>
    <row r="1535" spans="1:16" s="401" customFormat="1" ht="36">
      <c r="A1535" s="429">
        <f t="shared" si="82"/>
        <v>1532</v>
      </c>
      <c r="B1535" s="387">
        <v>46149</v>
      </c>
      <c r="C1535" s="388">
        <v>46143</v>
      </c>
      <c r="D1535" s="389" t="s">
        <v>248</v>
      </c>
      <c r="E1535" s="484" t="s">
        <v>1215</v>
      </c>
      <c r="F1535" s="491">
        <v>902</v>
      </c>
      <c r="G1535" s="486" t="s">
        <v>1319</v>
      </c>
      <c r="H1535" s="389" t="s">
        <v>278</v>
      </c>
      <c r="I1535" s="484" t="s">
        <v>2563</v>
      </c>
      <c r="J1535" s="487" t="s">
        <v>2564</v>
      </c>
      <c r="K1535" s="394" t="str">
        <f t="shared" si="83"/>
        <v>XXX59224722 XX</v>
      </c>
      <c r="L1535" s="403"/>
      <c r="M1535" s="484" t="s">
        <v>708</v>
      </c>
      <c r="N1535" s="487">
        <v>75524</v>
      </c>
      <c r="O1535" s="487" t="s">
        <v>2118</v>
      </c>
      <c r="P1535" s="398" t="s">
        <v>574</v>
      </c>
    </row>
    <row r="1536" spans="1:16" s="401" customFormat="1" ht="36">
      <c r="A1536" s="429">
        <f t="shared" si="82"/>
        <v>1533</v>
      </c>
      <c r="B1536" s="387">
        <v>46149</v>
      </c>
      <c r="C1536" s="388">
        <v>46143</v>
      </c>
      <c r="D1536" s="389" t="s">
        <v>248</v>
      </c>
      <c r="E1536" s="484" t="s">
        <v>1215</v>
      </c>
      <c r="F1536" s="491">
        <v>902</v>
      </c>
      <c r="G1536" s="486" t="s">
        <v>1319</v>
      </c>
      <c r="H1536" s="389" t="s">
        <v>278</v>
      </c>
      <c r="I1536" s="484" t="s">
        <v>2565</v>
      </c>
      <c r="J1536" s="487" t="s">
        <v>2566</v>
      </c>
      <c r="K1536" s="394" t="str">
        <f t="shared" si="83"/>
        <v>XXX64692643 XX</v>
      </c>
      <c r="L1536" s="403"/>
      <c r="M1536" s="484" t="s">
        <v>708</v>
      </c>
      <c r="N1536" s="487">
        <v>75523</v>
      </c>
      <c r="O1536" s="487" t="s">
        <v>2118</v>
      </c>
      <c r="P1536" s="398" t="s">
        <v>574</v>
      </c>
    </row>
    <row r="1537" spans="1:16" s="401" customFormat="1" ht="36">
      <c r="A1537" s="429">
        <f t="shared" si="82"/>
        <v>1534</v>
      </c>
      <c r="B1537" s="387">
        <v>46149</v>
      </c>
      <c r="C1537" s="388">
        <v>46143</v>
      </c>
      <c r="D1537" s="389" t="s">
        <v>353</v>
      </c>
      <c r="E1537" s="39" t="s">
        <v>153</v>
      </c>
      <c r="F1537" s="491">
        <v>37774</v>
      </c>
      <c r="G1537" s="486" t="s">
        <v>821</v>
      </c>
      <c r="H1537" s="389" t="s">
        <v>280</v>
      </c>
      <c r="I1537" s="394" t="s">
        <v>744</v>
      </c>
      <c r="J1537" s="455">
        <v>7837375000150</v>
      </c>
      <c r="K1537" s="394" t="str">
        <f t="shared" si="83"/>
        <v>XXX737500015XX</v>
      </c>
      <c r="L1537" s="403"/>
      <c r="M1537" s="484" t="s">
        <v>706</v>
      </c>
      <c r="N1537" s="487">
        <v>2057887450</v>
      </c>
      <c r="O1537" s="487" t="s">
        <v>2529</v>
      </c>
      <c r="P1537" s="398" t="s">
        <v>574</v>
      </c>
    </row>
    <row r="1538" spans="1:16" s="401" customFormat="1" ht="36">
      <c r="A1538" s="429">
        <f t="shared" si="82"/>
        <v>1535</v>
      </c>
      <c r="B1538" s="387">
        <v>46149</v>
      </c>
      <c r="C1538" s="388">
        <v>46143</v>
      </c>
      <c r="D1538" s="389" t="s">
        <v>248</v>
      </c>
      <c r="E1538" s="484" t="s">
        <v>1215</v>
      </c>
      <c r="F1538" s="491">
        <v>902</v>
      </c>
      <c r="G1538" s="486" t="s">
        <v>1319</v>
      </c>
      <c r="H1538" s="389" t="s">
        <v>278</v>
      </c>
      <c r="I1538" s="484" t="s">
        <v>2567</v>
      </c>
      <c r="J1538" s="487" t="s">
        <v>2568</v>
      </c>
      <c r="K1538" s="394" t="str">
        <f t="shared" si="83"/>
        <v>XXX64702622 XX</v>
      </c>
      <c r="L1538" s="403"/>
      <c r="M1538" s="484" t="s">
        <v>708</v>
      </c>
      <c r="N1538" s="487">
        <v>75552</v>
      </c>
      <c r="O1538" s="487" t="s">
        <v>2527</v>
      </c>
      <c r="P1538" s="398" t="s">
        <v>574</v>
      </c>
    </row>
    <row r="1539" spans="1:16" s="401" customFormat="1" ht="36">
      <c r="A1539" s="429">
        <f t="shared" si="82"/>
        <v>1536</v>
      </c>
      <c r="B1539" s="387">
        <v>46149</v>
      </c>
      <c r="C1539" s="388">
        <v>46143</v>
      </c>
      <c r="D1539" s="389" t="s">
        <v>248</v>
      </c>
      <c r="E1539" s="484" t="s">
        <v>1215</v>
      </c>
      <c r="F1539" s="491">
        <v>902</v>
      </c>
      <c r="G1539" s="486" t="s">
        <v>1319</v>
      </c>
      <c r="H1539" s="389" t="s">
        <v>278</v>
      </c>
      <c r="I1539" s="484" t="s">
        <v>2569</v>
      </c>
      <c r="J1539" s="487" t="s">
        <v>2570</v>
      </c>
      <c r="K1539" s="394" t="str">
        <f t="shared" si="83"/>
        <v>XXX85920686 XX</v>
      </c>
      <c r="L1539" s="403"/>
      <c r="M1539" s="484" t="s">
        <v>708</v>
      </c>
      <c r="N1539" s="487">
        <v>75566</v>
      </c>
      <c r="O1539" s="487" t="s">
        <v>2527</v>
      </c>
      <c r="P1539" s="398" t="s">
        <v>574</v>
      </c>
    </row>
    <row r="1540" spans="1:16" s="401" customFormat="1" ht="36">
      <c r="A1540" s="429">
        <f t="shared" si="82"/>
        <v>1537</v>
      </c>
      <c r="B1540" s="387">
        <v>46149</v>
      </c>
      <c r="C1540" s="388">
        <v>46113</v>
      </c>
      <c r="D1540" s="389" t="s">
        <v>353</v>
      </c>
      <c r="E1540" s="39" t="s">
        <v>334</v>
      </c>
      <c r="F1540" s="491">
        <v>4136.6899999999996</v>
      </c>
      <c r="G1540" s="486" t="s">
        <v>2724</v>
      </c>
      <c r="H1540" s="389" t="s">
        <v>280</v>
      </c>
      <c r="I1540" s="394" t="s">
        <v>744</v>
      </c>
      <c r="J1540" s="455">
        <v>7837375000150</v>
      </c>
      <c r="K1540" s="394" t="str">
        <f t="shared" si="83"/>
        <v>XXX737500015XX</v>
      </c>
      <c r="L1540" s="403"/>
      <c r="M1540" s="484" t="s">
        <v>707</v>
      </c>
      <c r="N1540" s="487">
        <v>42026</v>
      </c>
      <c r="O1540" s="487" t="s">
        <v>2089</v>
      </c>
      <c r="P1540" s="398" t="s">
        <v>574</v>
      </c>
    </row>
    <row r="1541" spans="1:16" s="401" customFormat="1" ht="36">
      <c r="A1541" s="429">
        <f t="shared" si="82"/>
        <v>1538</v>
      </c>
      <c r="B1541" s="387">
        <v>46149</v>
      </c>
      <c r="C1541" s="388">
        <v>46143</v>
      </c>
      <c r="D1541" s="392" t="s">
        <v>132</v>
      </c>
      <c r="E1541" s="38" t="s">
        <v>209</v>
      </c>
      <c r="F1541" s="491">
        <v>661</v>
      </c>
      <c r="G1541" s="486" t="s">
        <v>2725</v>
      </c>
      <c r="H1541" s="389" t="s">
        <v>278</v>
      </c>
      <c r="I1541" s="484" t="s">
        <v>2571</v>
      </c>
      <c r="J1541" s="487" t="s">
        <v>2572</v>
      </c>
      <c r="K1541" s="394" t="str">
        <f t="shared" si="83"/>
        <v>XXX096630001XX</v>
      </c>
      <c r="L1541" s="403"/>
      <c r="M1541" s="484" t="s">
        <v>704</v>
      </c>
      <c r="N1541" s="487">
        <v>151457</v>
      </c>
      <c r="O1541" s="487" t="s">
        <v>2529</v>
      </c>
      <c r="P1541" s="398" t="s">
        <v>574</v>
      </c>
    </row>
    <row r="1542" spans="1:16" s="401" customFormat="1" ht="48">
      <c r="A1542" s="429">
        <f t="shared" si="82"/>
        <v>1539</v>
      </c>
      <c r="B1542" s="387">
        <v>46149</v>
      </c>
      <c r="C1542" s="388">
        <v>46143</v>
      </c>
      <c r="D1542" s="389" t="s">
        <v>248</v>
      </c>
      <c r="E1542" s="484" t="s">
        <v>593</v>
      </c>
      <c r="F1542" s="491">
        <v>99179.74</v>
      </c>
      <c r="G1542" s="486" t="s">
        <v>2726</v>
      </c>
      <c r="H1542" s="389" t="s">
        <v>736</v>
      </c>
      <c r="I1542" s="484" t="s">
        <v>1059</v>
      </c>
      <c r="J1542" s="487" t="s">
        <v>1060</v>
      </c>
      <c r="K1542" s="394" t="str">
        <f t="shared" si="83"/>
        <v>XXX414930001XX</v>
      </c>
      <c r="L1542" s="403"/>
      <c r="M1542" s="484" t="s">
        <v>707</v>
      </c>
      <c r="N1542" s="487">
        <v>4</v>
      </c>
      <c r="O1542" s="487" t="s">
        <v>2527</v>
      </c>
      <c r="P1542" s="398" t="s">
        <v>868</v>
      </c>
    </row>
    <row r="1543" spans="1:16" s="401" customFormat="1" ht="36">
      <c r="A1543" s="429">
        <f t="shared" si="82"/>
        <v>1540</v>
      </c>
      <c r="B1543" s="387">
        <v>46149</v>
      </c>
      <c r="C1543" s="388">
        <v>46143</v>
      </c>
      <c r="D1543" s="389" t="s">
        <v>248</v>
      </c>
      <c r="E1543" s="60" t="s">
        <v>60</v>
      </c>
      <c r="F1543" s="491">
        <v>168.51</v>
      </c>
      <c r="G1543" s="486" t="s">
        <v>2727</v>
      </c>
      <c r="H1543" s="392" t="s">
        <v>736</v>
      </c>
      <c r="I1543" s="484" t="s">
        <v>2235</v>
      </c>
      <c r="J1543" s="487" t="s">
        <v>636</v>
      </c>
      <c r="K1543" s="394" t="str">
        <f t="shared" si="83"/>
        <v>XXX153830001XX</v>
      </c>
      <c r="L1543" s="403"/>
      <c r="M1543" s="484" t="s">
        <v>704</v>
      </c>
      <c r="N1543" s="487">
        <v>627404</v>
      </c>
      <c r="O1543" s="487" t="s">
        <v>2529</v>
      </c>
      <c r="P1543" s="398" t="s">
        <v>868</v>
      </c>
    </row>
    <row r="1544" spans="1:16" s="401" customFormat="1" ht="48">
      <c r="A1544" s="429">
        <f t="shared" si="82"/>
        <v>1541</v>
      </c>
      <c r="B1544" s="387">
        <v>46149</v>
      </c>
      <c r="C1544" s="388">
        <v>46113</v>
      </c>
      <c r="D1544" s="389" t="s">
        <v>248</v>
      </c>
      <c r="E1544" s="484" t="s">
        <v>607</v>
      </c>
      <c r="F1544" s="491">
        <v>234</v>
      </c>
      <c r="G1544" s="486" t="s">
        <v>2728</v>
      </c>
      <c r="H1544" s="389" t="s">
        <v>736</v>
      </c>
      <c r="I1544" s="484" t="s">
        <v>2573</v>
      </c>
      <c r="J1544" s="487" t="s">
        <v>2574</v>
      </c>
      <c r="K1544" s="394" t="str">
        <f t="shared" si="83"/>
        <v>XXX68438679 XX</v>
      </c>
      <c r="L1544" s="403"/>
      <c r="M1544" s="484" t="s">
        <v>913</v>
      </c>
      <c r="N1544" s="487">
        <v>75370</v>
      </c>
      <c r="O1544" s="487" t="s">
        <v>2103</v>
      </c>
      <c r="P1544" s="398" t="s">
        <v>574</v>
      </c>
    </row>
    <row r="1545" spans="1:16" s="401" customFormat="1" ht="48">
      <c r="A1545" s="429">
        <f t="shared" si="82"/>
        <v>1542</v>
      </c>
      <c r="B1545" s="387">
        <v>46149</v>
      </c>
      <c r="C1545" s="388">
        <v>46113</v>
      </c>
      <c r="D1545" s="389" t="s">
        <v>248</v>
      </c>
      <c r="E1545" s="484" t="s">
        <v>597</v>
      </c>
      <c r="F1545" s="491">
        <v>194.85</v>
      </c>
      <c r="G1545" s="486" t="s">
        <v>2729</v>
      </c>
      <c r="H1545" s="389" t="s">
        <v>278</v>
      </c>
      <c r="I1545" s="484" t="s">
        <v>1472</v>
      </c>
      <c r="J1545" s="487" t="s">
        <v>1473</v>
      </c>
      <c r="K1545" s="394" t="str">
        <f t="shared" si="83"/>
        <v>XXX735210001XX</v>
      </c>
      <c r="L1545" s="403"/>
      <c r="M1545" s="484" t="s">
        <v>706</v>
      </c>
      <c r="N1545" s="487">
        <v>48401</v>
      </c>
      <c r="O1545" s="487" t="s">
        <v>2548</v>
      </c>
      <c r="P1545" s="398" t="s">
        <v>574</v>
      </c>
    </row>
    <row r="1546" spans="1:16" s="401" customFormat="1" ht="48">
      <c r="A1546" s="429">
        <f t="shared" si="82"/>
        <v>1543</v>
      </c>
      <c r="B1546" s="387">
        <v>46149</v>
      </c>
      <c r="C1546" s="388">
        <v>46143</v>
      </c>
      <c r="D1546" s="389" t="s">
        <v>248</v>
      </c>
      <c r="E1546" s="484" t="s">
        <v>607</v>
      </c>
      <c r="F1546" s="491">
        <v>234</v>
      </c>
      <c r="G1546" s="486" t="s">
        <v>2730</v>
      </c>
      <c r="H1546" s="389" t="s">
        <v>736</v>
      </c>
      <c r="I1546" s="484" t="s">
        <v>2575</v>
      </c>
      <c r="J1546" s="487" t="s">
        <v>2576</v>
      </c>
      <c r="K1546" s="394" t="str">
        <f t="shared" si="83"/>
        <v>XXX32115669 XX</v>
      </c>
      <c r="L1546" s="403"/>
      <c r="M1546" s="484" t="s">
        <v>708</v>
      </c>
      <c r="N1546" s="487">
        <v>76096</v>
      </c>
      <c r="O1546" s="487" t="s">
        <v>2529</v>
      </c>
      <c r="P1546" s="398" t="s">
        <v>574</v>
      </c>
    </row>
    <row r="1547" spans="1:16" s="401" customFormat="1" ht="36">
      <c r="A1547" s="429">
        <f t="shared" si="82"/>
        <v>1544</v>
      </c>
      <c r="B1547" s="387">
        <v>46149</v>
      </c>
      <c r="C1547" s="388">
        <v>46143</v>
      </c>
      <c r="D1547" s="389" t="s">
        <v>248</v>
      </c>
      <c r="E1547" s="484" t="s">
        <v>607</v>
      </c>
      <c r="F1547" s="491">
        <v>47.63</v>
      </c>
      <c r="G1547" s="486" t="s">
        <v>2731</v>
      </c>
      <c r="H1547" s="389" t="s">
        <v>736</v>
      </c>
      <c r="I1547" s="398" t="s">
        <v>2953</v>
      </c>
      <c r="J1547" s="399" t="s">
        <v>2954</v>
      </c>
      <c r="K1547" s="394" t="str">
        <f t="shared" si="83"/>
        <v>26.068.130/0003-11</v>
      </c>
      <c r="L1547" s="403"/>
      <c r="M1547" s="484" t="s">
        <v>710</v>
      </c>
      <c r="N1547" s="487">
        <v>107271</v>
      </c>
      <c r="O1547" s="487" t="s">
        <v>2529</v>
      </c>
      <c r="P1547" s="391" t="s">
        <v>2525</v>
      </c>
    </row>
    <row r="1548" spans="1:16" s="401" customFormat="1" ht="48">
      <c r="A1548" s="429">
        <f t="shared" si="82"/>
        <v>1545</v>
      </c>
      <c r="B1548" s="387">
        <v>46149</v>
      </c>
      <c r="C1548" s="388">
        <v>46143</v>
      </c>
      <c r="D1548" s="389" t="s">
        <v>248</v>
      </c>
      <c r="E1548" s="484" t="s">
        <v>610</v>
      </c>
      <c r="F1548" s="491">
        <v>12.5</v>
      </c>
      <c r="G1548" s="486" t="s">
        <v>1667</v>
      </c>
      <c r="H1548" s="389" t="s">
        <v>278</v>
      </c>
      <c r="I1548" s="484" t="s">
        <v>2981</v>
      </c>
      <c r="J1548" s="487" t="s">
        <v>773</v>
      </c>
      <c r="K1548" s="394" t="str">
        <f t="shared" si="83"/>
        <v>XXX000000000XX</v>
      </c>
      <c r="L1548" s="403"/>
      <c r="M1548" s="484" t="s">
        <v>710</v>
      </c>
      <c r="N1548" s="487">
        <v>76142</v>
      </c>
      <c r="O1548" s="487" t="s">
        <v>2529</v>
      </c>
      <c r="P1548" s="391" t="s">
        <v>2525</v>
      </c>
    </row>
    <row r="1549" spans="1:16" s="401" customFormat="1" ht="24">
      <c r="A1549" s="429">
        <f t="shared" si="82"/>
        <v>1546</v>
      </c>
      <c r="B1549" s="387">
        <v>46149</v>
      </c>
      <c r="C1549" s="388">
        <v>46143</v>
      </c>
      <c r="D1549" s="389" t="s">
        <v>248</v>
      </c>
      <c r="E1549" s="484" t="s">
        <v>597</v>
      </c>
      <c r="F1549" s="491">
        <v>60</v>
      </c>
      <c r="G1549" s="486" t="s">
        <v>2732</v>
      </c>
      <c r="H1549" s="389" t="s">
        <v>278</v>
      </c>
      <c r="I1549" s="484" t="s">
        <v>2986</v>
      </c>
      <c r="J1549" s="487">
        <v>31992558633</v>
      </c>
      <c r="K1549" s="394" t="str">
        <f t="shared" si="83"/>
        <v>XXX92558633XX</v>
      </c>
      <c r="L1549" s="403"/>
      <c r="M1549" s="484" t="s">
        <v>710</v>
      </c>
      <c r="N1549" s="487">
        <v>14031</v>
      </c>
      <c r="O1549" s="487" t="s">
        <v>2529</v>
      </c>
      <c r="P1549" s="391" t="s">
        <v>2525</v>
      </c>
    </row>
    <row r="1550" spans="1:16" s="401" customFormat="1" ht="24">
      <c r="A1550" s="429">
        <f t="shared" si="82"/>
        <v>1547</v>
      </c>
      <c r="B1550" s="387">
        <v>46149</v>
      </c>
      <c r="C1550" s="388">
        <v>46143</v>
      </c>
      <c r="D1550" s="389" t="s">
        <v>248</v>
      </c>
      <c r="E1550" s="484" t="s">
        <v>597</v>
      </c>
      <c r="F1550" s="491">
        <v>60</v>
      </c>
      <c r="G1550" s="486" t="s">
        <v>2733</v>
      </c>
      <c r="H1550" s="389" t="s">
        <v>278</v>
      </c>
      <c r="I1550" s="484" t="s">
        <v>2986</v>
      </c>
      <c r="J1550" s="487">
        <v>31992558633</v>
      </c>
      <c r="K1550" s="394" t="str">
        <f t="shared" si="83"/>
        <v>XXX92558633XX</v>
      </c>
      <c r="L1550" s="403"/>
      <c r="M1550" s="484" t="s">
        <v>710</v>
      </c>
      <c r="N1550" s="487">
        <v>7052026</v>
      </c>
      <c r="O1550" s="487" t="s">
        <v>2529</v>
      </c>
      <c r="P1550" s="391" t="s">
        <v>2525</v>
      </c>
    </row>
    <row r="1551" spans="1:16" s="401" customFormat="1" ht="24">
      <c r="A1551" s="429">
        <f t="shared" si="82"/>
        <v>1548</v>
      </c>
      <c r="B1551" s="387">
        <v>46149</v>
      </c>
      <c r="C1551" s="388">
        <v>46143</v>
      </c>
      <c r="D1551" s="389" t="s">
        <v>248</v>
      </c>
      <c r="E1551" s="484" t="s">
        <v>597</v>
      </c>
      <c r="F1551" s="491">
        <v>60</v>
      </c>
      <c r="G1551" s="486" t="s">
        <v>2733</v>
      </c>
      <c r="H1551" s="389" t="s">
        <v>278</v>
      </c>
      <c r="I1551" s="484" t="s">
        <v>2986</v>
      </c>
      <c r="J1551" s="487">
        <v>31992558633</v>
      </c>
      <c r="K1551" s="394" t="str">
        <f t="shared" si="83"/>
        <v>XXX92558633XX</v>
      </c>
      <c r="L1551" s="403"/>
      <c r="M1551" s="484" t="s">
        <v>710</v>
      </c>
      <c r="N1551" s="487">
        <v>76190</v>
      </c>
      <c r="O1551" s="487" t="s">
        <v>2529</v>
      </c>
      <c r="P1551" s="391" t="s">
        <v>2525</v>
      </c>
    </row>
    <row r="1552" spans="1:16" s="401" customFormat="1" ht="48">
      <c r="A1552" s="429">
        <f t="shared" si="82"/>
        <v>1549</v>
      </c>
      <c r="B1552" s="387">
        <v>46149</v>
      </c>
      <c r="C1552" s="388">
        <v>46143</v>
      </c>
      <c r="D1552" s="389" t="s">
        <v>248</v>
      </c>
      <c r="E1552" s="484" t="s">
        <v>597</v>
      </c>
      <c r="F1552" s="491">
        <v>799</v>
      </c>
      <c r="G1552" s="486" t="s">
        <v>2734</v>
      </c>
      <c r="H1552" s="389" t="s">
        <v>278</v>
      </c>
      <c r="I1552" s="484" t="s">
        <v>1472</v>
      </c>
      <c r="J1552" s="487" t="s">
        <v>1473</v>
      </c>
      <c r="K1552" s="394" t="str">
        <f t="shared" si="83"/>
        <v>XXX735210001XX</v>
      </c>
      <c r="L1552" s="403"/>
      <c r="M1552" s="484" t="s">
        <v>706</v>
      </c>
      <c r="N1552" s="487">
        <v>6</v>
      </c>
      <c r="O1552" s="487" t="s">
        <v>2529</v>
      </c>
      <c r="P1552" s="398" t="s">
        <v>574</v>
      </c>
    </row>
    <row r="1553" spans="1:16" s="401" customFormat="1" ht="36">
      <c r="A1553" s="429">
        <f t="shared" si="82"/>
        <v>1550</v>
      </c>
      <c r="B1553" s="387">
        <v>46149</v>
      </c>
      <c r="C1553" s="388">
        <v>46113</v>
      </c>
      <c r="D1553" s="389" t="s">
        <v>248</v>
      </c>
      <c r="E1553" s="484" t="s">
        <v>742</v>
      </c>
      <c r="F1553" s="491">
        <v>197.37</v>
      </c>
      <c r="G1553" s="486" t="s">
        <v>2735</v>
      </c>
      <c r="H1553" s="389" t="s">
        <v>278</v>
      </c>
      <c r="I1553" s="484" t="s">
        <v>745</v>
      </c>
      <c r="J1553" s="487" t="s">
        <v>746</v>
      </c>
      <c r="K1553" s="394" t="str">
        <f t="shared" si="83"/>
        <v>XXX565960001XX</v>
      </c>
      <c r="L1553" s="403"/>
      <c r="M1553" s="484" t="s">
        <v>704</v>
      </c>
      <c r="N1553" s="487">
        <v>1</v>
      </c>
      <c r="O1553" s="487" t="s">
        <v>2107</v>
      </c>
      <c r="P1553" s="398" t="s">
        <v>574</v>
      </c>
    </row>
    <row r="1554" spans="1:16" s="401" customFormat="1" ht="48">
      <c r="A1554" s="429">
        <f t="shared" si="82"/>
        <v>1551</v>
      </c>
      <c r="B1554" s="387">
        <v>46149</v>
      </c>
      <c r="C1554" s="388">
        <v>46143</v>
      </c>
      <c r="D1554" s="389" t="s">
        <v>132</v>
      </c>
      <c r="E1554" s="38" t="s">
        <v>212</v>
      </c>
      <c r="F1554" s="491">
        <v>799</v>
      </c>
      <c r="G1554" s="486" t="s">
        <v>2736</v>
      </c>
      <c r="H1554" s="389" t="s">
        <v>278</v>
      </c>
      <c r="I1554" s="484" t="s">
        <v>1472</v>
      </c>
      <c r="J1554" s="487" t="s">
        <v>1473</v>
      </c>
      <c r="K1554" s="394" t="str">
        <f t="shared" si="83"/>
        <v>XXX735210001XX</v>
      </c>
      <c r="L1554" s="403"/>
      <c r="M1554" s="484" t="s">
        <v>706</v>
      </c>
      <c r="N1554" s="487">
        <v>512</v>
      </c>
      <c r="O1554" s="487" t="s">
        <v>2529</v>
      </c>
      <c r="P1554" s="398" t="s">
        <v>574</v>
      </c>
    </row>
    <row r="1555" spans="1:16" s="401" customFormat="1" ht="48">
      <c r="A1555" s="429">
        <f t="shared" si="82"/>
        <v>1552</v>
      </c>
      <c r="B1555" s="387">
        <v>46150</v>
      </c>
      <c r="C1555" s="388">
        <v>46113</v>
      </c>
      <c r="D1555" s="389" t="s">
        <v>248</v>
      </c>
      <c r="E1555" s="60" t="s">
        <v>78</v>
      </c>
      <c r="F1555" s="491">
        <v>33</v>
      </c>
      <c r="G1555" s="486" t="s">
        <v>3074</v>
      </c>
      <c r="H1555" s="392" t="s">
        <v>278</v>
      </c>
      <c r="I1555" s="484" t="s">
        <v>635</v>
      </c>
      <c r="J1555" s="487" t="s">
        <v>636</v>
      </c>
      <c r="K1555" s="394" t="str">
        <f t="shared" si="83"/>
        <v>XXX153830001XX</v>
      </c>
      <c r="L1555" s="403"/>
      <c r="M1555" s="484" t="s">
        <v>712</v>
      </c>
      <c r="N1555" s="487">
        <v>30</v>
      </c>
      <c r="O1555" s="487" t="s">
        <v>2090</v>
      </c>
      <c r="P1555" s="398" t="s">
        <v>574</v>
      </c>
    </row>
    <row r="1556" spans="1:16" s="401" customFormat="1" ht="36">
      <c r="A1556" s="429">
        <f t="shared" si="82"/>
        <v>1553</v>
      </c>
      <c r="B1556" s="387">
        <v>46150</v>
      </c>
      <c r="C1556" s="388">
        <v>46113</v>
      </c>
      <c r="D1556" s="389" t="s">
        <v>248</v>
      </c>
      <c r="E1556" s="59" t="s">
        <v>170</v>
      </c>
      <c r="F1556" s="491">
        <v>15.38</v>
      </c>
      <c r="G1556" s="486" t="s">
        <v>3075</v>
      </c>
      <c r="H1556" s="392" t="s">
        <v>278</v>
      </c>
      <c r="I1556" s="484" t="s">
        <v>635</v>
      </c>
      <c r="J1556" s="487" t="s">
        <v>636</v>
      </c>
      <c r="K1556" s="394" t="str">
        <f t="shared" si="83"/>
        <v>XXX153830001XX</v>
      </c>
      <c r="L1556" s="403"/>
      <c r="M1556" s="484" t="s">
        <v>712</v>
      </c>
      <c r="N1556" s="487">
        <v>852</v>
      </c>
      <c r="O1556" s="487" t="s">
        <v>2089</v>
      </c>
      <c r="P1556" s="398" t="s">
        <v>574</v>
      </c>
    </row>
    <row r="1557" spans="1:16" s="401" customFormat="1" ht="72">
      <c r="A1557" s="429">
        <f t="shared" si="82"/>
        <v>1554</v>
      </c>
      <c r="B1557" s="387">
        <v>46150</v>
      </c>
      <c r="C1557" s="388">
        <v>46113</v>
      </c>
      <c r="D1557" s="389" t="s">
        <v>248</v>
      </c>
      <c r="E1557" s="484" t="s">
        <v>600</v>
      </c>
      <c r="F1557" s="491">
        <v>149.05000000000001</v>
      </c>
      <c r="G1557" s="486" t="s">
        <v>1840</v>
      </c>
      <c r="H1557" s="389" t="s">
        <v>737</v>
      </c>
      <c r="I1557" s="484" t="s">
        <v>635</v>
      </c>
      <c r="J1557" s="487" t="s">
        <v>636</v>
      </c>
      <c r="K1557" s="394" t="str">
        <f t="shared" si="83"/>
        <v>XXX153830001XX</v>
      </c>
      <c r="L1557" s="403"/>
      <c r="M1557" s="484" t="s">
        <v>712</v>
      </c>
      <c r="N1557" s="487">
        <v>46</v>
      </c>
      <c r="O1557" s="487" t="s">
        <v>2091</v>
      </c>
      <c r="P1557" s="398" t="s">
        <v>574</v>
      </c>
    </row>
    <row r="1558" spans="1:16" s="401" customFormat="1" ht="36">
      <c r="A1558" s="429">
        <f t="shared" si="82"/>
        <v>1555</v>
      </c>
      <c r="B1558" s="387">
        <v>46150</v>
      </c>
      <c r="C1558" s="388">
        <v>46113</v>
      </c>
      <c r="D1558" s="389" t="s">
        <v>248</v>
      </c>
      <c r="E1558" s="484" t="s">
        <v>605</v>
      </c>
      <c r="F1558" s="491">
        <v>18.18</v>
      </c>
      <c r="G1558" s="486" t="s">
        <v>3076</v>
      </c>
      <c r="H1558" s="389" t="s">
        <v>278</v>
      </c>
      <c r="I1558" s="484" t="s">
        <v>635</v>
      </c>
      <c r="J1558" s="487" t="s">
        <v>636</v>
      </c>
      <c r="K1558" s="394" t="str">
        <f t="shared" si="83"/>
        <v>XXX153830001XX</v>
      </c>
      <c r="L1558" s="403"/>
      <c r="M1558" s="484" t="s">
        <v>712</v>
      </c>
      <c r="N1558" s="487">
        <v>3473</v>
      </c>
      <c r="O1558" s="487" t="s">
        <v>2089</v>
      </c>
      <c r="P1558" s="398" t="s">
        <v>574</v>
      </c>
    </row>
    <row r="1559" spans="1:16" s="401" customFormat="1" ht="72">
      <c r="A1559" s="429">
        <f t="shared" si="82"/>
        <v>1556</v>
      </c>
      <c r="B1559" s="387">
        <v>46150</v>
      </c>
      <c r="C1559" s="388">
        <v>46113</v>
      </c>
      <c r="D1559" s="389" t="s">
        <v>248</v>
      </c>
      <c r="E1559" s="60" t="s">
        <v>78</v>
      </c>
      <c r="F1559" s="491">
        <v>12.6</v>
      </c>
      <c r="G1559" s="486" t="s">
        <v>3077</v>
      </c>
      <c r="H1559" s="389" t="s">
        <v>1029</v>
      </c>
      <c r="I1559" s="484" t="s">
        <v>635</v>
      </c>
      <c r="J1559" s="487" t="s">
        <v>636</v>
      </c>
      <c r="K1559" s="394" t="str">
        <f t="shared" si="83"/>
        <v>XXX153830001XX</v>
      </c>
      <c r="L1559" s="403"/>
      <c r="M1559" s="484" t="s">
        <v>712</v>
      </c>
      <c r="N1559" s="487">
        <v>709</v>
      </c>
      <c r="O1559" s="487" t="s">
        <v>2093</v>
      </c>
      <c r="P1559" s="398" t="s">
        <v>574</v>
      </c>
    </row>
    <row r="1560" spans="1:16" s="401" customFormat="1" ht="36">
      <c r="A1560" s="429">
        <f t="shared" si="82"/>
        <v>1557</v>
      </c>
      <c r="B1560" s="387">
        <v>46150</v>
      </c>
      <c r="C1560" s="388">
        <v>46113</v>
      </c>
      <c r="D1560" s="389" t="s">
        <v>248</v>
      </c>
      <c r="E1560" s="484" t="s">
        <v>592</v>
      </c>
      <c r="F1560" s="491">
        <v>8.8800000000000008</v>
      </c>
      <c r="G1560" s="486" t="s">
        <v>3078</v>
      </c>
      <c r="H1560" s="389" t="s">
        <v>278</v>
      </c>
      <c r="I1560" s="484" t="s">
        <v>635</v>
      </c>
      <c r="J1560" s="487" t="s">
        <v>636</v>
      </c>
      <c r="K1560" s="394" t="str">
        <f t="shared" si="83"/>
        <v>XXX153830001XX</v>
      </c>
      <c r="L1560" s="403"/>
      <c r="M1560" s="484" t="s">
        <v>712</v>
      </c>
      <c r="N1560" s="487">
        <v>399</v>
      </c>
      <c r="O1560" s="487" t="s">
        <v>2095</v>
      </c>
      <c r="P1560" s="398" t="s">
        <v>574</v>
      </c>
    </row>
    <row r="1561" spans="1:16" s="401" customFormat="1" ht="72">
      <c r="A1561" s="429">
        <f t="shared" si="82"/>
        <v>1558</v>
      </c>
      <c r="B1561" s="387">
        <v>46150</v>
      </c>
      <c r="C1561" s="388">
        <v>46113</v>
      </c>
      <c r="D1561" s="389" t="s">
        <v>248</v>
      </c>
      <c r="E1561" s="484" t="s">
        <v>743</v>
      </c>
      <c r="F1561" s="491">
        <v>62.85</v>
      </c>
      <c r="G1561" s="486" t="s">
        <v>3079</v>
      </c>
      <c r="H1561" s="389" t="s">
        <v>737</v>
      </c>
      <c r="I1561" s="484" t="s">
        <v>635</v>
      </c>
      <c r="J1561" s="487" t="s">
        <v>636</v>
      </c>
      <c r="K1561" s="394" t="str">
        <f t="shared" si="83"/>
        <v>XXX153830001XX</v>
      </c>
      <c r="L1561" s="391"/>
      <c r="M1561" s="484" t="s">
        <v>712</v>
      </c>
      <c r="N1561" s="487">
        <v>64</v>
      </c>
      <c r="O1561" s="487" t="s">
        <v>2096</v>
      </c>
      <c r="P1561" s="398" t="s">
        <v>574</v>
      </c>
    </row>
    <row r="1562" spans="1:16" s="401" customFormat="1" ht="36">
      <c r="A1562" s="429">
        <f t="shared" si="82"/>
        <v>1559</v>
      </c>
      <c r="B1562" s="387">
        <v>46150</v>
      </c>
      <c r="C1562" s="388">
        <v>46113</v>
      </c>
      <c r="D1562" s="389" t="s">
        <v>166</v>
      </c>
      <c r="E1562" s="484" t="s">
        <v>581</v>
      </c>
      <c r="F1562" s="491">
        <v>22.19</v>
      </c>
      <c r="G1562" s="486" t="s">
        <v>3080</v>
      </c>
      <c r="H1562" s="389" t="s">
        <v>166</v>
      </c>
      <c r="I1562" s="484" t="s">
        <v>635</v>
      </c>
      <c r="J1562" s="487" t="s">
        <v>636</v>
      </c>
      <c r="K1562" s="390" t="str">
        <f t="shared" si="83"/>
        <v>XXX153830001XX</v>
      </c>
      <c r="L1562" s="403"/>
      <c r="M1562" s="484" t="s">
        <v>712</v>
      </c>
      <c r="N1562" s="487">
        <v>15317</v>
      </c>
      <c r="O1562" s="487" t="s">
        <v>2100</v>
      </c>
      <c r="P1562" s="398" t="s">
        <v>574</v>
      </c>
    </row>
    <row r="1563" spans="1:16" s="401" customFormat="1" ht="36">
      <c r="A1563" s="429">
        <f t="shared" si="82"/>
        <v>1560</v>
      </c>
      <c r="B1563" s="387">
        <v>46150</v>
      </c>
      <c r="C1563" s="388">
        <v>46113</v>
      </c>
      <c r="D1563" s="389" t="s">
        <v>166</v>
      </c>
      <c r="E1563" s="484" t="s">
        <v>581</v>
      </c>
      <c r="F1563" s="491">
        <v>15.83</v>
      </c>
      <c r="G1563" s="486" t="s">
        <v>3081</v>
      </c>
      <c r="H1563" s="389" t="s">
        <v>166</v>
      </c>
      <c r="I1563" s="484" t="s">
        <v>635</v>
      </c>
      <c r="J1563" s="487" t="s">
        <v>636</v>
      </c>
      <c r="K1563" s="394" t="str">
        <f t="shared" si="83"/>
        <v>XXX153830001XX</v>
      </c>
      <c r="L1563" s="403"/>
      <c r="M1563" s="484" t="s">
        <v>712</v>
      </c>
      <c r="N1563" s="487">
        <v>7136</v>
      </c>
      <c r="O1563" s="487" t="s">
        <v>2098</v>
      </c>
      <c r="P1563" s="398" t="s">
        <v>574</v>
      </c>
    </row>
    <row r="1564" spans="1:16" s="401" customFormat="1" ht="36">
      <c r="A1564" s="429">
        <f t="shared" si="82"/>
        <v>1561</v>
      </c>
      <c r="B1564" s="387">
        <v>46150</v>
      </c>
      <c r="C1564" s="388">
        <v>46113</v>
      </c>
      <c r="D1564" s="389" t="s">
        <v>248</v>
      </c>
      <c r="E1564" s="484" t="s">
        <v>595</v>
      </c>
      <c r="F1564" s="491">
        <v>175</v>
      </c>
      <c r="G1564" s="486" t="s">
        <v>3082</v>
      </c>
      <c r="H1564" s="392" t="s">
        <v>738</v>
      </c>
      <c r="I1564" s="484" t="s">
        <v>635</v>
      </c>
      <c r="J1564" s="487" t="s">
        <v>636</v>
      </c>
      <c r="K1564" s="394" t="str">
        <f t="shared" si="83"/>
        <v>XXX153830001XX</v>
      </c>
      <c r="L1564" s="403"/>
      <c r="M1564" s="484" t="s">
        <v>712</v>
      </c>
      <c r="N1564" s="487">
        <v>28825</v>
      </c>
      <c r="O1564" s="487" t="s">
        <v>2097</v>
      </c>
      <c r="P1564" s="398" t="s">
        <v>574</v>
      </c>
    </row>
    <row r="1565" spans="1:16" s="401" customFormat="1" ht="60">
      <c r="A1565" s="429">
        <f t="shared" si="82"/>
        <v>1562</v>
      </c>
      <c r="B1565" s="387">
        <v>46150</v>
      </c>
      <c r="C1565" s="388">
        <v>46113</v>
      </c>
      <c r="D1565" s="389" t="s">
        <v>248</v>
      </c>
      <c r="E1565" s="60" t="s">
        <v>78</v>
      </c>
      <c r="F1565" s="491">
        <v>47.48</v>
      </c>
      <c r="G1565" s="486" t="s">
        <v>3083</v>
      </c>
      <c r="H1565" s="389" t="s">
        <v>736</v>
      </c>
      <c r="I1565" s="484" t="s">
        <v>635</v>
      </c>
      <c r="J1565" s="487" t="s">
        <v>636</v>
      </c>
      <c r="K1565" s="394" t="str">
        <f t="shared" ref="K1565:K1623" si="84">IF(J1565="","",IF(LEN(J1565)&gt;14,IF(ISBLANK(J1565),"",J1565),REPLACE(REPLACE(J1565,1,3,"XXX"),13,2,"XX")))</f>
        <v>XXX153830001XX</v>
      </c>
      <c r="L1565" s="403"/>
      <c r="M1565" s="484" t="s">
        <v>712</v>
      </c>
      <c r="N1565" s="487">
        <v>26</v>
      </c>
      <c r="O1565" s="487" t="s">
        <v>2103</v>
      </c>
      <c r="P1565" s="398" t="s">
        <v>574</v>
      </c>
    </row>
    <row r="1566" spans="1:16" s="401" customFormat="1" ht="60">
      <c r="A1566" s="429">
        <f t="shared" si="82"/>
        <v>1563</v>
      </c>
      <c r="B1566" s="387">
        <v>46150</v>
      </c>
      <c r="C1566" s="388">
        <v>46113</v>
      </c>
      <c r="D1566" s="389" t="s">
        <v>248</v>
      </c>
      <c r="E1566" s="484" t="s">
        <v>591</v>
      </c>
      <c r="F1566" s="491">
        <v>44.1</v>
      </c>
      <c r="G1566" s="486" t="s">
        <v>3084</v>
      </c>
      <c r="H1566" s="389" t="s">
        <v>736</v>
      </c>
      <c r="I1566" s="484" t="s">
        <v>635</v>
      </c>
      <c r="J1566" s="487" t="s">
        <v>636</v>
      </c>
      <c r="K1566" s="390" t="str">
        <f t="shared" si="84"/>
        <v>XXX153830001XX</v>
      </c>
      <c r="L1566" s="391"/>
      <c r="M1566" s="484" t="s">
        <v>712</v>
      </c>
      <c r="N1566" s="487">
        <v>25</v>
      </c>
      <c r="O1566" s="487" t="s">
        <v>2103</v>
      </c>
      <c r="P1566" s="398" t="s">
        <v>574</v>
      </c>
    </row>
    <row r="1567" spans="1:16" s="401" customFormat="1" ht="36">
      <c r="A1567" s="429">
        <f t="shared" si="82"/>
        <v>1564</v>
      </c>
      <c r="B1567" s="387">
        <v>46150</v>
      </c>
      <c r="C1567" s="388">
        <v>46113</v>
      </c>
      <c r="D1567" s="389" t="s">
        <v>166</v>
      </c>
      <c r="E1567" s="484" t="s">
        <v>603</v>
      </c>
      <c r="F1567" s="491">
        <v>1087.53</v>
      </c>
      <c r="G1567" s="486" t="s">
        <v>3085</v>
      </c>
      <c r="H1567" s="389" t="s">
        <v>166</v>
      </c>
      <c r="I1567" s="484" t="s">
        <v>635</v>
      </c>
      <c r="J1567" s="487" t="s">
        <v>636</v>
      </c>
      <c r="K1567" s="394" t="str">
        <f t="shared" si="84"/>
        <v>XXX153830001XX</v>
      </c>
      <c r="L1567" s="391"/>
      <c r="M1567" s="484" t="s">
        <v>712</v>
      </c>
      <c r="N1567" s="487">
        <v>471594</v>
      </c>
      <c r="O1567" s="487" t="s">
        <v>2549</v>
      </c>
      <c r="P1567" s="398" t="s">
        <v>572</v>
      </c>
    </row>
    <row r="1568" spans="1:16" s="401" customFormat="1" ht="36">
      <c r="A1568" s="429">
        <f t="shared" si="82"/>
        <v>1565</v>
      </c>
      <c r="B1568" s="387">
        <v>46150</v>
      </c>
      <c r="C1568" s="388">
        <v>46113</v>
      </c>
      <c r="D1568" s="389" t="s">
        <v>166</v>
      </c>
      <c r="E1568" s="484" t="s">
        <v>603</v>
      </c>
      <c r="F1568" s="491">
        <v>103.45</v>
      </c>
      <c r="G1568" s="486" t="s">
        <v>3085</v>
      </c>
      <c r="H1568" s="389" t="s">
        <v>166</v>
      </c>
      <c r="I1568" s="484" t="s">
        <v>635</v>
      </c>
      <c r="J1568" s="487" t="s">
        <v>636</v>
      </c>
      <c r="K1568" s="394" t="str">
        <f t="shared" si="84"/>
        <v>XXX153830001XX</v>
      </c>
      <c r="L1568" s="391"/>
      <c r="M1568" s="484" t="s">
        <v>712</v>
      </c>
      <c r="N1568" s="487">
        <v>422954</v>
      </c>
      <c r="O1568" s="487" t="s">
        <v>2092</v>
      </c>
      <c r="P1568" s="398" t="s">
        <v>572</v>
      </c>
    </row>
    <row r="1569" spans="1:16" s="401" customFormat="1" ht="60">
      <c r="A1569" s="429">
        <f t="shared" ref="A1569:A1628" si="85">IF(B1569="","",ROW()-ROW($A$3))</f>
        <v>1566</v>
      </c>
      <c r="B1569" s="387">
        <v>46150</v>
      </c>
      <c r="C1569" s="388">
        <v>46113</v>
      </c>
      <c r="D1569" s="389" t="s">
        <v>248</v>
      </c>
      <c r="E1569" s="484" t="s">
        <v>597</v>
      </c>
      <c r="F1569" s="491">
        <v>1.92</v>
      </c>
      <c r="G1569" s="486" t="s">
        <v>3086</v>
      </c>
      <c r="H1569" s="389" t="s">
        <v>1418</v>
      </c>
      <c r="I1569" s="484" t="s">
        <v>635</v>
      </c>
      <c r="J1569" s="487" t="s">
        <v>636</v>
      </c>
      <c r="K1569" s="390" t="str">
        <f t="shared" si="84"/>
        <v>XXX153830001XX</v>
      </c>
      <c r="L1569" s="391"/>
      <c r="M1569" s="484" t="s">
        <v>712</v>
      </c>
      <c r="N1569" s="487">
        <v>656</v>
      </c>
      <c r="O1569" s="487" t="s">
        <v>2095</v>
      </c>
      <c r="P1569" s="398" t="s">
        <v>574</v>
      </c>
    </row>
    <row r="1570" spans="1:16" s="401" customFormat="1" ht="60">
      <c r="A1570" s="429">
        <f t="shared" si="85"/>
        <v>1567</v>
      </c>
      <c r="B1570" s="387">
        <v>46150</v>
      </c>
      <c r="C1570" s="388">
        <v>46113</v>
      </c>
      <c r="D1570" s="389" t="s">
        <v>248</v>
      </c>
      <c r="E1570" s="484" t="s">
        <v>607</v>
      </c>
      <c r="F1570" s="491">
        <v>234</v>
      </c>
      <c r="G1570" s="486" t="s">
        <v>2738</v>
      </c>
      <c r="H1570" s="392" t="s">
        <v>278</v>
      </c>
      <c r="I1570" s="484" t="s">
        <v>2577</v>
      </c>
      <c r="J1570" s="487" t="s">
        <v>2578</v>
      </c>
      <c r="K1570" s="394" t="str">
        <f t="shared" si="84"/>
        <v>XXX14236672 XX</v>
      </c>
      <c r="L1570" s="391"/>
      <c r="M1570" s="484" t="s">
        <v>708</v>
      </c>
      <c r="N1570" s="487">
        <v>75414</v>
      </c>
      <c r="O1570" s="487" t="s">
        <v>2104</v>
      </c>
      <c r="P1570" s="398" t="s">
        <v>574</v>
      </c>
    </row>
    <row r="1571" spans="1:16" s="401" customFormat="1" ht="36">
      <c r="A1571" s="429">
        <f t="shared" si="85"/>
        <v>1568</v>
      </c>
      <c r="B1571" s="387">
        <v>46150</v>
      </c>
      <c r="C1571" s="388">
        <v>46113</v>
      </c>
      <c r="D1571" s="389" t="s">
        <v>248</v>
      </c>
      <c r="E1571" s="60" t="s">
        <v>171</v>
      </c>
      <c r="F1571" s="491">
        <v>15.86</v>
      </c>
      <c r="G1571" s="486" t="s">
        <v>3087</v>
      </c>
      <c r="H1571" s="389" t="s">
        <v>278</v>
      </c>
      <c r="I1571" s="484" t="s">
        <v>635</v>
      </c>
      <c r="J1571" s="487" t="s">
        <v>636</v>
      </c>
      <c r="K1571" s="394" t="str">
        <f t="shared" si="84"/>
        <v>XXX153830001XX</v>
      </c>
      <c r="L1571" s="391"/>
      <c r="M1571" s="484" t="s">
        <v>712</v>
      </c>
      <c r="N1571" s="487">
        <v>274</v>
      </c>
      <c r="O1571" s="487" t="s">
        <v>2094</v>
      </c>
      <c r="P1571" s="398" t="s">
        <v>574</v>
      </c>
    </row>
    <row r="1572" spans="1:16" s="401" customFormat="1" ht="36">
      <c r="A1572" s="429">
        <f t="shared" si="85"/>
        <v>1569</v>
      </c>
      <c r="B1572" s="387">
        <v>46150</v>
      </c>
      <c r="C1572" s="388">
        <v>46113</v>
      </c>
      <c r="D1572" s="389" t="s">
        <v>248</v>
      </c>
      <c r="E1572" s="60" t="s">
        <v>171</v>
      </c>
      <c r="F1572" s="491">
        <v>8.93</v>
      </c>
      <c r="G1572" s="486" t="s">
        <v>3087</v>
      </c>
      <c r="H1572" s="389" t="s">
        <v>278</v>
      </c>
      <c r="I1572" s="484" t="s">
        <v>635</v>
      </c>
      <c r="J1572" s="487" t="s">
        <v>636</v>
      </c>
      <c r="K1572" s="394" t="str">
        <f t="shared" si="84"/>
        <v>XXX153830001XX</v>
      </c>
      <c r="L1572" s="391"/>
      <c r="M1572" s="484" t="s">
        <v>712</v>
      </c>
      <c r="N1572" s="487">
        <v>295</v>
      </c>
      <c r="O1572" s="487" t="s">
        <v>2103</v>
      </c>
      <c r="P1572" s="398" t="s">
        <v>574</v>
      </c>
    </row>
    <row r="1573" spans="1:16" s="401" customFormat="1" ht="48">
      <c r="A1573" s="429">
        <f t="shared" si="85"/>
        <v>1570</v>
      </c>
      <c r="B1573" s="387">
        <v>46150</v>
      </c>
      <c r="C1573" s="388">
        <v>46113</v>
      </c>
      <c r="D1573" s="389" t="s">
        <v>248</v>
      </c>
      <c r="E1573" s="484" t="s">
        <v>597</v>
      </c>
      <c r="F1573" s="491">
        <v>403.91</v>
      </c>
      <c r="G1573" s="486" t="s">
        <v>2739</v>
      </c>
      <c r="H1573" s="392" t="s">
        <v>278</v>
      </c>
      <c r="I1573" s="484" t="s">
        <v>1421</v>
      </c>
      <c r="J1573" s="487" t="s">
        <v>1422</v>
      </c>
      <c r="K1573" s="394" t="str">
        <f t="shared" si="84"/>
        <v>XXX838110034XX</v>
      </c>
      <c r="L1573" s="391"/>
      <c r="M1573" s="484" t="s">
        <v>704</v>
      </c>
      <c r="N1573" s="487">
        <v>15700654</v>
      </c>
      <c r="O1573" s="487" t="s">
        <v>2100</v>
      </c>
      <c r="P1573" s="398" t="s">
        <v>574</v>
      </c>
    </row>
    <row r="1574" spans="1:16" s="401" customFormat="1" ht="48">
      <c r="A1574" s="429">
        <f t="shared" si="85"/>
        <v>1571</v>
      </c>
      <c r="B1574" s="387">
        <v>46150</v>
      </c>
      <c r="C1574" s="388">
        <v>46113</v>
      </c>
      <c r="D1574" s="389" t="s">
        <v>248</v>
      </c>
      <c r="E1574" s="60" t="s">
        <v>0</v>
      </c>
      <c r="F1574" s="491">
        <v>636.6</v>
      </c>
      <c r="G1574" s="486" t="s">
        <v>2739</v>
      </c>
      <c r="H1574" s="389" t="s">
        <v>278</v>
      </c>
      <c r="I1574" s="484" t="s">
        <v>1421</v>
      </c>
      <c r="J1574" s="487" t="s">
        <v>1422</v>
      </c>
      <c r="K1574" s="394" t="str">
        <f t="shared" si="84"/>
        <v>XXX838110034XX</v>
      </c>
      <c r="L1574" s="391"/>
      <c r="M1574" s="484" t="s">
        <v>704</v>
      </c>
      <c r="N1574" s="487">
        <v>15700654</v>
      </c>
      <c r="O1574" s="487" t="s">
        <v>2100</v>
      </c>
      <c r="P1574" s="398" t="s">
        <v>574</v>
      </c>
    </row>
    <row r="1575" spans="1:16" s="401" customFormat="1" ht="36">
      <c r="A1575" s="429">
        <f t="shared" si="85"/>
        <v>1572</v>
      </c>
      <c r="B1575" s="387">
        <v>46150</v>
      </c>
      <c r="C1575" s="388">
        <v>46113</v>
      </c>
      <c r="D1575" s="389" t="s">
        <v>166</v>
      </c>
      <c r="E1575" s="484" t="s">
        <v>584</v>
      </c>
      <c r="F1575" s="491">
        <v>2.19</v>
      </c>
      <c r="G1575" s="486" t="s">
        <v>3088</v>
      </c>
      <c r="H1575" s="389" t="s">
        <v>166</v>
      </c>
      <c r="I1575" s="484" t="s">
        <v>635</v>
      </c>
      <c r="J1575" s="487" t="s">
        <v>636</v>
      </c>
      <c r="K1575" s="394" t="str">
        <f t="shared" si="84"/>
        <v>XXX153830001XX</v>
      </c>
      <c r="L1575" s="391"/>
      <c r="M1575" s="484" t="s">
        <v>712</v>
      </c>
      <c r="N1575" s="487">
        <v>135908</v>
      </c>
      <c r="O1575" s="487" t="s">
        <v>2550</v>
      </c>
      <c r="P1575" s="398" t="s">
        <v>572</v>
      </c>
    </row>
    <row r="1576" spans="1:16" s="401" customFormat="1" ht="36">
      <c r="A1576" s="429">
        <f t="shared" si="85"/>
        <v>1573</v>
      </c>
      <c r="B1576" s="387">
        <v>46150</v>
      </c>
      <c r="C1576" s="388">
        <v>46113</v>
      </c>
      <c r="D1576" s="389" t="s">
        <v>166</v>
      </c>
      <c r="E1576" s="484" t="s">
        <v>584</v>
      </c>
      <c r="F1576" s="491">
        <v>0.63</v>
      </c>
      <c r="G1576" s="486" t="s">
        <v>3089</v>
      </c>
      <c r="H1576" s="389" t="s">
        <v>166</v>
      </c>
      <c r="I1576" s="484" t="s">
        <v>635</v>
      </c>
      <c r="J1576" s="487" t="s">
        <v>636</v>
      </c>
      <c r="K1576" s="394" t="str">
        <f t="shared" si="84"/>
        <v>XXX153830001XX</v>
      </c>
      <c r="L1576" s="391"/>
      <c r="M1576" s="484" t="s">
        <v>712</v>
      </c>
      <c r="N1576" s="487">
        <v>119877</v>
      </c>
      <c r="O1576" s="487" t="s">
        <v>2106</v>
      </c>
      <c r="P1576" s="398" t="s">
        <v>572</v>
      </c>
    </row>
    <row r="1577" spans="1:16" s="401" customFormat="1" ht="60">
      <c r="A1577" s="429">
        <f t="shared" si="85"/>
        <v>1574</v>
      </c>
      <c r="B1577" s="387">
        <v>46150</v>
      </c>
      <c r="C1577" s="388">
        <v>46113</v>
      </c>
      <c r="D1577" s="389" t="s">
        <v>248</v>
      </c>
      <c r="E1577" s="60" t="s">
        <v>78</v>
      </c>
      <c r="F1577" s="491">
        <v>33</v>
      </c>
      <c r="G1577" s="486" t="s">
        <v>3090</v>
      </c>
      <c r="H1577" s="392" t="s">
        <v>278</v>
      </c>
      <c r="I1577" s="484" t="s">
        <v>635</v>
      </c>
      <c r="J1577" s="487" t="s">
        <v>636</v>
      </c>
      <c r="K1577" s="394" t="str">
        <f t="shared" si="84"/>
        <v>XXX153830001XX</v>
      </c>
      <c r="L1577" s="391"/>
      <c r="M1577" s="484" t="s">
        <v>712</v>
      </c>
      <c r="N1577" s="487">
        <v>31</v>
      </c>
      <c r="O1577" s="487" t="s">
        <v>2104</v>
      </c>
      <c r="P1577" s="398" t="s">
        <v>574</v>
      </c>
    </row>
    <row r="1578" spans="1:16" s="401" customFormat="1" ht="36">
      <c r="A1578" s="429">
        <f t="shared" si="85"/>
        <v>1575</v>
      </c>
      <c r="B1578" s="387">
        <v>46150</v>
      </c>
      <c r="C1578" s="388">
        <v>46113</v>
      </c>
      <c r="D1578" s="389" t="s">
        <v>248</v>
      </c>
      <c r="E1578" s="484" t="s">
        <v>1215</v>
      </c>
      <c r="F1578" s="491">
        <v>902</v>
      </c>
      <c r="G1578" s="486" t="s">
        <v>1319</v>
      </c>
      <c r="H1578" s="389" t="s">
        <v>278</v>
      </c>
      <c r="I1578" s="484" t="s">
        <v>2579</v>
      </c>
      <c r="J1578" s="487" t="s">
        <v>2580</v>
      </c>
      <c r="K1578" s="394" t="str">
        <f t="shared" si="84"/>
        <v>XXX23508800 XX</v>
      </c>
      <c r="L1578" s="391"/>
      <c r="M1578" s="484" t="s">
        <v>708</v>
      </c>
      <c r="N1578" s="487">
        <v>75454</v>
      </c>
      <c r="O1578" s="487" t="s">
        <v>2105</v>
      </c>
      <c r="P1578" s="398" t="s">
        <v>574</v>
      </c>
    </row>
    <row r="1579" spans="1:16" s="401" customFormat="1" ht="36">
      <c r="A1579" s="429">
        <f t="shared" si="85"/>
        <v>1576</v>
      </c>
      <c r="B1579" s="387">
        <v>46150</v>
      </c>
      <c r="C1579" s="388">
        <v>46143</v>
      </c>
      <c r="D1579" s="389" t="s">
        <v>353</v>
      </c>
      <c r="E1579" s="39" t="s">
        <v>334</v>
      </c>
      <c r="F1579" s="491">
        <v>60</v>
      </c>
      <c r="G1579" s="486" t="s">
        <v>2740</v>
      </c>
      <c r="H1579" s="389" t="s">
        <v>280</v>
      </c>
      <c r="I1579" s="394" t="s">
        <v>744</v>
      </c>
      <c r="J1579" s="455">
        <v>7837375000150</v>
      </c>
      <c r="K1579" s="394" t="str">
        <f t="shared" si="84"/>
        <v>XXX737500015XX</v>
      </c>
      <c r="L1579" s="391"/>
      <c r="M1579" s="484" t="s">
        <v>708</v>
      </c>
      <c r="N1579" s="487">
        <v>52026</v>
      </c>
      <c r="O1579" s="487" t="s">
        <v>2546</v>
      </c>
      <c r="P1579" s="398" t="s">
        <v>574</v>
      </c>
    </row>
    <row r="1580" spans="1:16" s="401" customFormat="1" ht="36">
      <c r="A1580" s="429">
        <f t="shared" si="85"/>
        <v>1577</v>
      </c>
      <c r="B1580" s="387">
        <v>46150</v>
      </c>
      <c r="C1580" s="388">
        <v>46113</v>
      </c>
      <c r="D1580" s="389" t="s">
        <v>248</v>
      </c>
      <c r="E1580" s="484" t="s">
        <v>1215</v>
      </c>
      <c r="F1580" s="491">
        <v>902</v>
      </c>
      <c r="G1580" s="486" t="s">
        <v>1319</v>
      </c>
      <c r="H1580" s="389" t="s">
        <v>278</v>
      </c>
      <c r="I1580" s="484" t="s">
        <v>2581</v>
      </c>
      <c r="J1580" s="487" t="s">
        <v>2582</v>
      </c>
      <c r="K1580" s="394" t="str">
        <f t="shared" si="84"/>
        <v>XXX97367754 XX</v>
      </c>
      <c r="L1580" s="391"/>
      <c r="M1580" s="484" t="s">
        <v>708</v>
      </c>
      <c r="N1580" s="487">
        <v>75507</v>
      </c>
      <c r="O1580" s="487" t="s">
        <v>2107</v>
      </c>
      <c r="P1580" s="398" t="s">
        <v>574</v>
      </c>
    </row>
    <row r="1581" spans="1:16" s="401" customFormat="1" ht="36">
      <c r="A1581" s="429">
        <f t="shared" si="85"/>
        <v>1578</v>
      </c>
      <c r="B1581" s="387">
        <v>46150</v>
      </c>
      <c r="C1581" s="388">
        <v>46113</v>
      </c>
      <c r="D1581" s="389" t="s">
        <v>248</v>
      </c>
      <c r="E1581" s="484" t="s">
        <v>605</v>
      </c>
      <c r="F1581" s="491">
        <v>13499.02</v>
      </c>
      <c r="G1581" s="486" t="s">
        <v>2741</v>
      </c>
      <c r="H1581" s="389" t="s">
        <v>278</v>
      </c>
      <c r="I1581" s="484" t="s">
        <v>774</v>
      </c>
      <c r="J1581" s="487" t="s">
        <v>775</v>
      </c>
      <c r="K1581" s="394" t="str">
        <f t="shared" si="84"/>
        <v>XXX545540001XX</v>
      </c>
      <c r="L1581" s="391"/>
      <c r="M1581" s="484" t="s">
        <v>714</v>
      </c>
      <c r="N1581" s="487">
        <v>42026</v>
      </c>
      <c r="O1581" s="487" t="s">
        <v>2089</v>
      </c>
      <c r="P1581" s="398" t="s">
        <v>574</v>
      </c>
    </row>
    <row r="1582" spans="1:16" s="401" customFormat="1" ht="36">
      <c r="A1582" s="429">
        <f t="shared" si="85"/>
        <v>1579</v>
      </c>
      <c r="B1582" s="387">
        <v>46150</v>
      </c>
      <c r="C1582" s="388">
        <v>46143</v>
      </c>
      <c r="D1582" s="389" t="s">
        <v>166</v>
      </c>
      <c r="E1582" s="484" t="s">
        <v>584</v>
      </c>
      <c r="F1582" s="491">
        <v>252.37</v>
      </c>
      <c r="G1582" s="486" t="s">
        <v>2742</v>
      </c>
      <c r="H1582" s="389" t="s">
        <v>166</v>
      </c>
      <c r="I1582" s="484" t="s">
        <v>618</v>
      </c>
      <c r="J1582" s="487" t="s">
        <v>619</v>
      </c>
      <c r="K1582" s="394" t="str">
        <f t="shared" si="84"/>
        <v>XXX985050001XX</v>
      </c>
      <c r="L1582" s="391"/>
      <c r="M1582" s="484" t="s">
        <v>706</v>
      </c>
      <c r="N1582" s="487">
        <v>2057887470</v>
      </c>
      <c r="O1582" s="487" t="s">
        <v>2530</v>
      </c>
      <c r="P1582" s="398" t="s">
        <v>572</v>
      </c>
    </row>
    <row r="1583" spans="1:16" s="401" customFormat="1" ht="36">
      <c r="A1583" s="429">
        <f t="shared" si="85"/>
        <v>1580</v>
      </c>
      <c r="B1583" s="387">
        <v>46150</v>
      </c>
      <c r="C1583" s="388">
        <v>46113</v>
      </c>
      <c r="D1583" s="389" t="s">
        <v>248</v>
      </c>
      <c r="E1583" s="484" t="s">
        <v>591</v>
      </c>
      <c r="F1583" s="491">
        <v>12.56</v>
      </c>
      <c r="G1583" s="486" t="s">
        <v>1789</v>
      </c>
      <c r="H1583" s="389" t="s">
        <v>736</v>
      </c>
      <c r="I1583" s="484" t="s">
        <v>635</v>
      </c>
      <c r="J1583" s="487" t="s">
        <v>636</v>
      </c>
      <c r="K1583" s="394" t="str">
        <f t="shared" si="84"/>
        <v>XXX153830001XX</v>
      </c>
      <c r="L1583" s="391"/>
      <c r="M1583" s="484" t="s">
        <v>712</v>
      </c>
      <c r="N1583" s="487">
        <v>673</v>
      </c>
      <c r="O1583" s="487" t="s">
        <v>2107</v>
      </c>
      <c r="P1583" s="398" t="s">
        <v>574</v>
      </c>
    </row>
    <row r="1584" spans="1:16" s="401" customFormat="1" ht="84">
      <c r="A1584" s="429">
        <f t="shared" si="85"/>
        <v>1581</v>
      </c>
      <c r="B1584" s="387">
        <v>46153</v>
      </c>
      <c r="C1584" s="388">
        <v>46113</v>
      </c>
      <c r="D1584" s="389" t="s">
        <v>248</v>
      </c>
      <c r="E1584" s="59" t="s">
        <v>170</v>
      </c>
      <c r="F1584" s="491">
        <v>1610.83</v>
      </c>
      <c r="G1584" s="486" t="s">
        <v>2743</v>
      </c>
      <c r="H1584" s="392" t="s">
        <v>278</v>
      </c>
      <c r="I1584" s="484" t="s">
        <v>803</v>
      </c>
      <c r="J1584" s="487" t="s">
        <v>804</v>
      </c>
      <c r="K1584" s="394" t="str">
        <f t="shared" si="84"/>
        <v>XXX105090013XX</v>
      </c>
      <c r="L1584" s="391"/>
      <c r="M1584" s="484" t="s">
        <v>704</v>
      </c>
      <c r="N1584" s="487">
        <v>356672</v>
      </c>
      <c r="O1584" s="487" t="s">
        <v>2099</v>
      </c>
      <c r="P1584" s="398" t="s">
        <v>574</v>
      </c>
    </row>
    <row r="1585" spans="1:16" s="401" customFormat="1" ht="84">
      <c r="A1585" s="429">
        <f t="shared" si="85"/>
        <v>1582</v>
      </c>
      <c r="B1585" s="387">
        <v>46153</v>
      </c>
      <c r="C1585" s="388">
        <v>46113</v>
      </c>
      <c r="D1585" s="389" t="s">
        <v>248</v>
      </c>
      <c r="E1585" s="59" t="s">
        <v>170</v>
      </c>
      <c r="F1585" s="491">
        <v>555.45000000000005</v>
      </c>
      <c r="G1585" s="486" t="s">
        <v>2743</v>
      </c>
      <c r="H1585" s="392" t="s">
        <v>278</v>
      </c>
      <c r="I1585" s="484" t="s">
        <v>803</v>
      </c>
      <c r="J1585" s="487" t="s">
        <v>804</v>
      </c>
      <c r="K1585" s="394" t="str">
        <f t="shared" si="84"/>
        <v>XXX105090013XX</v>
      </c>
      <c r="L1585" s="391"/>
      <c r="M1585" s="484" t="s">
        <v>704</v>
      </c>
      <c r="N1585" s="487">
        <v>356671</v>
      </c>
      <c r="O1585" s="487" t="s">
        <v>2099</v>
      </c>
      <c r="P1585" s="398" t="s">
        <v>574</v>
      </c>
    </row>
    <row r="1586" spans="1:16" s="401" customFormat="1" ht="120">
      <c r="A1586" s="429">
        <f t="shared" si="85"/>
        <v>1583</v>
      </c>
      <c r="B1586" s="387">
        <v>46153</v>
      </c>
      <c r="C1586" s="388">
        <v>46113</v>
      </c>
      <c r="D1586" s="389" t="s">
        <v>248</v>
      </c>
      <c r="E1586" s="484" t="s">
        <v>597</v>
      </c>
      <c r="F1586" s="491">
        <v>17</v>
      </c>
      <c r="G1586" s="486" t="s">
        <v>2744</v>
      </c>
      <c r="H1586" s="392" t="s">
        <v>278</v>
      </c>
      <c r="I1586" s="484" t="s">
        <v>1125</v>
      </c>
      <c r="J1586" s="487" t="s">
        <v>1126</v>
      </c>
      <c r="K1586" s="394" t="str">
        <f t="shared" si="84"/>
        <v>XXX128300001XX</v>
      </c>
      <c r="L1586" s="391"/>
      <c r="M1586" s="484" t="s">
        <v>704</v>
      </c>
      <c r="N1586" s="487">
        <v>2677</v>
      </c>
      <c r="O1586" s="487" t="s">
        <v>2101</v>
      </c>
      <c r="P1586" s="398" t="s">
        <v>868</v>
      </c>
    </row>
    <row r="1587" spans="1:16" s="401" customFormat="1" ht="120">
      <c r="A1587" s="429">
        <f t="shared" si="85"/>
        <v>1584</v>
      </c>
      <c r="B1587" s="387">
        <v>46153</v>
      </c>
      <c r="C1587" s="388">
        <v>46113</v>
      </c>
      <c r="D1587" s="389" t="s">
        <v>248</v>
      </c>
      <c r="E1587" s="60" t="s">
        <v>0</v>
      </c>
      <c r="F1587" s="491">
        <v>311.38</v>
      </c>
      <c r="G1587" s="486" t="s">
        <v>2744</v>
      </c>
      <c r="H1587" s="389" t="s">
        <v>278</v>
      </c>
      <c r="I1587" s="484" t="s">
        <v>1125</v>
      </c>
      <c r="J1587" s="487" t="s">
        <v>1126</v>
      </c>
      <c r="K1587" s="394" t="str">
        <f t="shared" si="84"/>
        <v>XXX128300001XX</v>
      </c>
      <c r="L1587" s="391"/>
      <c r="M1587" s="484" t="s">
        <v>704</v>
      </c>
      <c r="N1587" s="487">
        <v>2677</v>
      </c>
      <c r="O1587" s="487" t="s">
        <v>2101</v>
      </c>
      <c r="P1587" s="398" t="s">
        <v>868</v>
      </c>
    </row>
    <row r="1588" spans="1:16" s="401" customFormat="1" ht="36">
      <c r="A1588" s="429">
        <f t="shared" si="85"/>
        <v>1585</v>
      </c>
      <c r="B1588" s="387">
        <v>46153</v>
      </c>
      <c r="C1588" s="388">
        <v>46113</v>
      </c>
      <c r="D1588" s="389" t="s">
        <v>353</v>
      </c>
      <c r="E1588" s="39" t="s">
        <v>153</v>
      </c>
      <c r="F1588" s="491">
        <v>7192.57</v>
      </c>
      <c r="G1588" s="486" t="s">
        <v>2746</v>
      </c>
      <c r="H1588" s="389" t="s">
        <v>280</v>
      </c>
      <c r="I1588" s="394" t="s">
        <v>744</v>
      </c>
      <c r="J1588" s="455">
        <v>7837375000150</v>
      </c>
      <c r="K1588" s="394" t="str">
        <f t="shared" si="84"/>
        <v>XXX737500015XX</v>
      </c>
      <c r="L1588" s="391"/>
      <c r="M1588" s="484" t="s">
        <v>708</v>
      </c>
      <c r="N1588" s="487">
        <v>75731</v>
      </c>
      <c r="O1588" s="487" t="s">
        <v>2107</v>
      </c>
      <c r="P1588" s="398" t="s">
        <v>574</v>
      </c>
    </row>
    <row r="1589" spans="1:16" s="401" customFormat="1" ht="132">
      <c r="A1589" s="429">
        <f t="shared" si="85"/>
        <v>1586</v>
      </c>
      <c r="B1589" s="387">
        <v>46153</v>
      </c>
      <c r="C1589" s="388">
        <v>46143</v>
      </c>
      <c r="D1589" s="389" t="s">
        <v>248</v>
      </c>
      <c r="E1589" s="484" t="s">
        <v>582</v>
      </c>
      <c r="F1589" s="491">
        <v>3718.08</v>
      </c>
      <c r="G1589" s="486" t="s">
        <v>2354</v>
      </c>
      <c r="H1589" s="389" t="s">
        <v>737</v>
      </c>
      <c r="I1589" s="484" t="s">
        <v>1450</v>
      </c>
      <c r="J1589" s="487" t="s">
        <v>1451</v>
      </c>
      <c r="K1589" s="394" t="str">
        <f t="shared" si="84"/>
        <v>XXX217840001XX</v>
      </c>
      <c r="L1589" s="391"/>
      <c r="M1589" s="484" t="s">
        <v>704</v>
      </c>
      <c r="N1589" s="487">
        <v>232172</v>
      </c>
      <c r="O1589" s="487" t="s">
        <v>2527</v>
      </c>
      <c r="P1589" s="398" t="s">
        <v>574</v>
      </c>
    </row>
    <row r="1590" spans="1:16" s="401" customFormat="1" ht="48">
      <c r="A1590" s="429">
        <f t="shared" si="85"/>
        <v>1587</v>
      </c>
      <c r="B1590" s="387">
        <v>46153</v>
      </c>
      <c r="C1590" s="388">
        <v>46143</v>
      </c>
      <c r="D1590" s="389" t="s">
        <v>353</v>
      </c>
      <c r="E1590" s="484" t="s">
        <v>587</v>
      </c>
      <c r="F1590" s="491">
        <v>100</v>
      </c>
      <c r="G1590" s="486" t="s">
        <v>2747</v>
      </c>
      <c r="H1590" s="389" t="s">
        <v>280</v>
      </c>
      <c r="I1590" s="394" t="s">
        <v>744</v>
      </c>
      <c r="J1590" s="455">
        <v>7837375000150</v>
      </c>
      <c r="K1590" s="394" t="str">
        <f t="shared" si="84"/>
        <v>XXX737500015XX</v>
      </c>
      <c r="L1590" s="391"/>
      <c r="M1590" s="484" t="s">
        <v>708</v>
      </c>
      <c r="N1590" s="487">
        <v>52026</v>
      </c>
      <c r="O1590" s="487" t="s">
        <v>2531</v>
      </c>
      <c r="P1590" s="398" t="s">
        <v>574</v>
      </c>
    </row>
    <row r="1591" spans="1:16" s="401" customFormat="1" ht="48">
      <c r="A1591" s="429">
        <f t="shared" si="85"/>
        <v>1588</v>
      </c>
      <c r="B1591" s="387">
        <v>46153</v>
      </c>
      <c r="C1591" s="388">
        <v>46143</v>
      </c>
      <c r="D1591" s="389" t="s">
        <v>353</v>
      </c>
      <c r="E1591" s="484" t="s">
        <v>587</v>
      </c>
      <c r="F1591" s="491">
        <v>100</v>
      </c>
      <c r="G1591" s="486" t="s">
        <v>2748</v>
      </c>
      <c r="H1591" s="389" t="s">
        <v>280</v>
      </c>
      <c r="I1591" s="394" t="s">
        <v>744</v>
      </c>
      <c r="J1591" s="455">
        <v>7837375000150</v>
      </c>
      <c r="K1591" s="394" t="str">
        <f t="shared" si="84"/>
        <v>XXX737500015XX</v>
      </c>
      <c r="L1591" s="391"/>
      <c r="M1591" s="484" t="s">
        <v>708</v>
      </c>
      <c r="N1591" s="487">
        <v>52026</v>
      </c>
      <c r="O1591" s="487" t="s">
        <v>2531</v>
      </c>
      <c r="P1591" s="398" t="s">
        <v>574</v>
      </c>
    </row>
    <row r="1592" spans="1:16" s="401" customFormat="1" ht="36">
      <c r="A1592" s="429">
        <f t="shared" si="85"/>
        <v>1589</v>
      </c>
      <c r="B1592" s="387">
        <v>46153</v>
      </c>
      <c r="C1592" s="388">
        <v>46113</v>
      </c>
      <c r="D1592" s="389" t="s">
        <v>248</v>
      </c>
      <c r="E1592" s="59" t="s">
        <v>150</v>
      </c>
      <c r="F1592" s="491">
        <v>887.58</v>
      </c>
      <c r="G1592" s="486" t="s">
        <v>2749</v>
      </c>
      <c r="H1592" s="389" t="s">
        <v>278</v>
      </c>
      <c r="I1592" s="484" t="s">
        <v>641</v>
      </c>
      <c r="J1592" s="487" t="s">
        <v>642</v>
      </c>
      <c r="K1592" s="394" t="str">
        <f t="shared" si="84"/>
        <v>XXX581570009XX</v>
      </c>
      <c r="L1592" s="391"/>
      <c r="M1592" s="484" t="s">
        <v>717</v>
      </c>
      <c r="N1592" s="487">
        <v>1020284</v>
      </c>
      <c r="O1592" s="487" t="s">
        <v>2100</v>
      </c>
      <c r="P1592" s="398" t="s">
        <v>868</v>
      </c>
    </row>
    <row r="1593" spans="1:16" s="401" customFormat="1" ht="36">
      <c r="A1593" s="429">
        <f t="shared" si="85"/>
        <v>1590</v>
      </c>
      <c r="B1593" s="387">
        <v>46153</v>
      </c>
      <c r="C1593" s="388">
        <v>46143</v>
      </c>
      <c r="D1593" s="389" t="s">
        <v>248</v>
      </c>
      <c r="E1593" s="60" t="s">
        <v>60</v>
      </c>
      <c r="F1593" s="491">
        <v>100</v>
      </c>
      <c r="G1593" s="486" t="s">
        <v>2750</v>
      </c>
      <c r="H1593" s="389" t="s">
        <v>278</v>
      </c>
      <c r="I1593" s="484" t="s">
        <v>2967</v>
      </c>
      <c r="J1593" s="487" t="s">
        <v>2966</v>
      </c>
      <c r="K1593" s="394" t="str">
        <f t="shared" si="84"/>
        <v>00.786.960/0001-29</v>
      </c>
      <c r="L1593" s="391"/>
      <c r="M1593" s="484" t="s">
        <v>710</v>
      </c>
      <c r="N1593" s="487">
        <v>845</v>
      </c>
      <c r="O1593" s="487" t="s">
        <v>2531</v>
      </c>
      <c r="P1593" s="391" t="s">
        <v>2525</v>
      </c>
    </row>
    <row r="1594" spans="1:16" s="401" customFormat="1" ht="24">
      <c r="A1594" s="429">
        <f t="shared" si="85"/>
        <v>1591</v>
      </c>
      <c r="B1594" s="387">
        <v>46153</v>
      </c>
      <c r="C1594" s="388">
        <v>46143</v>
      </c>
      <c r="D1594" s="389" t="s">
        <v>248</v>
      </c>
      <c r="E1594" s="484" t="s">
        <v>597</v>
      </c>
      <c r="F1594" s="491">
        <v>20</v>
      </c>
      <c r="G1594" s="486" t="s">
        <v>2751</v>
      </c>
      <c r="H1594" s="389" t="s">
        <v>278</v>
      </c>
      <c r="I1594" s="484" t="s">
        <v>2987</v>
      </c>
      <c r="J1594" s="487">
        <v>31993820360</v>
      </c>
      <c r="K1594" s="394" t="str">
        <f t="shared" si="84"/>
        <v>XXX93820360XX</v>
      </c>
      <c r="L1594" s="391"/>
      <c r="M1594" s="484" t="s">
        <v>710</v>
      </c>
      <c r="N1594" s="487">
        <v>14035</v>
      </c>
      <c r="O1594" s="487" t="s">
        <v>2531</v>
      </c>
      <c r="P1594" s="391" t="s">
        <v>2525</v>
      </c>
    </row>
    <row r="1595" spans="1:16" s="401" customFormat="1" ht="36">
      <c r="A1595" s="429">
        <f t="shared" si="85"/>
        <v>1592</v>
      </c>
      <c r="B1595" s="387">
        <v>46153</v>
      </c>
      <c r="C1595" s="388">
        <v>46143</v>
      </c>
      <c r="D1595" s="389" t="s">
        <v>248</v>
      </c>
      <c r="E1595" s="484" t="s">
        <v>597</v>
      </c>
      <c r="F1595" s="491">
        <v>13</v>
      </c>
      <c r="G1595" s="486" t="s">
        <v>2957</v>
      </c>
      <c r="H1595" s="392" t="s">
        <v>278</v>
      </c>
      <c r="I1595" s="484" t="s">
        <v>2982</v>
      </c>
      <c r="J1595" s="487" t="s">
        <v>2983</v>
      </c>
      <c r="K1595" s="394" t="str">
        <f t="shared" si="84"/>
        <v>02.558.157/0463-16</v>
      </c>
      <c r="L1595" s="391"/>
      <c r="M1595" s="484" t="s">
        <v>710</v>
      </c>
      <c r="N1595" s="487">
        <v>201079</v>
      </c>
      <c r="O1595" s="487" t="s">
        <v>2531</v>
      </c>
      <c r="P1595" s="391" t="s">
        <v>2525</v>
      </c>
    </row>
    <row r="1596" spans="1:16" s="401" customFormat="1" ht="48">
      <c r="A1596" s="429">
        <f t="shared" si="85"/>
        <v>1593</v>
      </c>
      <c r="B1596" s="387">
        <v>46154</v>
      </c>
      <c r="C1596" s="388">
        <v>46143</v>
      </c>
      <c r="D1596" s="389" t="s">
        <v>248</v>
      </c>
      <c r="E1596" s="484" t="s">
        <v>1216</v>
      </c>
      <c r="F1596" s="491">
        <v>2058.64</v>
      </c>
      <c r="G1596" s="486" t="s">
        <v>2752</v>
      </c>
      <c r="H1596" s="389" t="s">
        <v>278</v>
      </c>
      <c r="I1596" s="484" t="s">
        <v>1127</v>
      </c>
      <c r="J1596" s="487" t="s">
        <v>1128</v>
      </c>
      <c r="K1596" s="394" t="str">
        <f t="shared" si="84"/>
        <v>XXX254870001XX</v>
      </c>
      <c r="L1596" s="391"/>
      <c r="M1596" s="484" t="s">
        <v>704</v>
      </c>
      <c r="N1596" s="487">
        <v>54448</v>
      </c>
      <c r="O1596" s="487" t="s">
        <v>2546</v>
      </c>
      <c r="P1596" s="398" t="s">
        <v>868</v>
      </c>
    </row>
    <row r="1597" spans="1:16" s="401" customFormat="1" ht="48">
      <c r="A1597" s="429">
        <f t="shared" si="85"/>
        <v>1594</v>
      </c>
      <c r="B1597" s="387">
        <v>46154</v>
      </c>
      <c r="C1597" s="388">
        <v>46143</v>
      </c>
      <c r="D1597" s="389" t="s">
        <v>248</v>
      </c>
      <c r="E1597" s="484" t="s">
        <v>590</v>
      </c>
      <c r="F1597" s="491">
        <v>122.55</v>
      </c>
      <c r="G1597" s="486" t="s">
        <v>3128</v>
      </c>
      <c r="H1597" s="389" t="s">
        <v>736</v>
      </c>
      <c r="I1597" s="484" t="s">
        <v>668</v>
      </c>
      <c r="J1597" s="487" t="s">
        <v>669</v>
      </c>
      <c r="K1597" s="394" t="str">
        <f t="shared" si="84"/>
        <v>XXX077460001XX</v>
      </c>
      <c r="L1597" s="391"/>
      <c r="M1597" s="484" t="s">
        <v>1204</v>
      </c>
      <c r="N1597" s="487">
        <v>594893736</v>
      </c>
      <c r="O1597" s="487" t="s">
        <v>2532</v>
      </c>
      <c r="P1597" s="398" t="s">
        <v>574</v>
      </c>
    </row>
    <row r="1598" spans="1:16" s="401" customFormat="1" ht="48">
      <c r="A1598" s="429">
        <f t="shared" si="85"/>
        <v>1595</v>
      </c>
      <c r="B1598" s="387">
        <v>46154</v>
      </c>
      <c r="C1598" s="388">
        <v>46143</v>
      </c>
      <c r="D1598" s="389" t="s">
        <v>248</v>
      </c>
      <c r="E1598" s="484" t="s">
        <v>590</v>
      </c>
      <c r="F1598" s="491">
        <v>694.43</v>
      </c>
      <c r="G1598" s="486" t="s">
        <v>2304</v>
      </c>
      <c r="H1598" s="389" t="s">
        <v>736</v>
      </c>
      <c r="I1598" s="484" t="s">
        <v>2146</v>
      </c>
      <c r="J1598" s="487" t="s">
        <v>773</v>
      </c>
      <c r="K1598" s="394" t="str">
        <f t="shared" si="84"/>
        <v>XXX000000000XX</v>
      </c>
      <c r="L1598" s="391"/>
      <c r="M1598" s="484" t="s">
        <v>727</v>
      </c>
      <c r="N1598" s="487">
        <v>594893736</v>
      </c>
      <c r="O1598" s="487" t="s">
        <v>2532</v>
      </c>
      <c r="P1598" s="398" t="s">
        <v>574</v>
      </c>
    </row>
    <row r="1599" spans="1:16" s="401" customFormat="1" ht="36">
      <c r="A1599" s="429">
        <f t="shared" si="85"/>
        <v>1596</v>
      </c>
      <c r="B1599" s="387">
        <v>46154</v>
      </c>
      <c r="C1599" s="388">
        <v>46143</v>
      </c>
      <c r="D1599" s="389" t="s">
        <v>248</v>
      </c>
      <c r="E1599" s="484" t="s">
        <v>590</v>
      </c>
      <c r="F1599" s="491">
        <v>24.31</v>
      </c>
      <c r="G1599" s="486" t="s">
        <v>2304</v>
      </c>
      <c r="H1599" s="389" t="s">
        <v>736</v>
      </c>
      <c r="I1599" s="484" t="s">
        <v>690</v>
      </c>
      <c r="J1599" s="487" t="s">
        <v>691</v>
      </c>
      <c r="K1599" s="394" t="str">
        <f t="shared" si="84"/>
        <v>XXX011900001XX</v>
      </c>
      <c r="L1599" s="391"/>
      <c r="M1599" s="484" t="s">
        <v>1203</v>
      </c>
      <c r="N1599" s="487">
        <v>594893736</v>
      </c>
      <c r="O1599" s="487" t="s">
        <v>2532</v>
      </c>
      <c r="P1599" s="398" t="s">
        <v>574</v>
      </c>
    </row>
    <row r="1600" spans="1:16" s="401" customFormat="1" ht="48">
      <c r="A1600" s="429">
        <f t="shared" si="85"/>
        <v>1597</v>
      </c>
      <c r="B1600" s="387">
        <v>46154</v>
      </c>
      <c r="C1600" s="388">
        <v>46143</v>
      </c>
      <c r="D1600" s="389" t="s">
        <v>248</v>
      </c>
      <c r="E1600" s="484" t="s">
        <v>590</v>
      </c>
      <c r="F1600" s="491">
        <v>2782.74</v>
      </c>
      <c r="G1600" s="486" t="s">
        <v>3146</v>
      </c>
      <c r="H1600" s="389" t="s">
        <v>736</v>
      </c>
      <c r="I1600" s="484" t="s">
        <v>668</v>
      </c>
      <c r="J1600" s="487" t="s">
        <v>669</v>
      </c>
      <c r="K1600" s="394" t="str">
        <f t="shared" si="84"/>
        <v>XXX077460001XX</v>
      </c>
      <c r="L1600" s="391"/>
      <c r="M1600" s="484" t="s">
        <v>1204</v>
      </c>
      <c r="N1600" s="487">
        <v>594887932</v>
      </c>
      <c r="O1600" s="487" t="s">
        <v>2532</v>
      </c>
      <c r="P1600" s="398" t="s">
        <v>574</v>
      </c>
    </row>
    <row r="1601" spans="1:16" s="401" customFormat="1" ht="48">
      <c r="A1601" s="429">
        <f t="shared" si="85"/>
        <v>1598</v>
      </c>
      <c r="B1601" s="387">
        <v>46154</v>
      </c>
      <c r="C1601" s="388">
        <v>46143</v>
      </c>
      <c r="D1601" s="389" t="s">
        <v>248</v>
      </c>
      <c r="E1601" s="484" t="s">
        <v>590</v>
      </c>
      <c r="F1601" s="491">
        <v>15768.87</v>
      </c>
      <c r="G1601" s="486" t="s">
        <v>2753</v>
      </c>
      <c r="H1601" s="389" t="s">
        <v>736</v>
      </c>
      <c r="I1601" s="484" t="s">
        <v>1100</v>
      </c>
      <c r="J1601" s="487" t="s">
        <v>773</v>
      </c>
      <c r="K1601" s="394" t="str">
        <f t="shared" si="84"/>
        <v>XXX000000000XX</v>
      </c>
      <c r="L1601" s="391"/>
      <c r="M1601" s="484" t="s">
        <v>727</v>
      </c>
      <c r="N1601" s="487">
        <v>594887932</v>
      </c>
      <c r="O1601" s="487" t="s">
        <v>2532</v>
      </c>
      <c r="P1601" s="398" t="s">
        <v>574</v>
      </c>
    </row>
    <row r="1602" spans="1:16" s="401" customFormat="1" ht="48" customHeight="1">
      <c r="A1602" s="429">
        <f t="shared" si="85"/>
        <v>1599</v>
      </c>
      <c r="B1602" s="387">
        <v>46154</v>
      </c>
      <c r="C1602" s="388">
        <v>46143</v>
      </c>
      <c r="D1602" s="389" t="s">
        <v>248</v>
      </c>
      <c r="E1602" s="484" t="s">
        <v>590</v>
      </c>
      <c r="F1602" s="491">
        <v>551.91</v>
      </c>
      <c r="G1602" s="486" t="s">
        <v>2753</v>
      </c>
      <c r="H1602" s="389" t="s">
        <v>736</v>
      </c>
      <c r="I1602" s="484" t="s">
        <v>690</v>
      </c>
      <c r="J1602" s="487" t="s">
        <v>691</v>
      </c>
      <c r="K1602" s="394" t="str">
        <f t="shared" si="84"/>
        <v>XXX011900001XX</v>
      </c>
      <c r="L1602" s="391"/>
      <c r="M1602" s="484" t="s">
        <v>1203</v>
      </c>
      <c r="N1602" s="487">
        <v>594887932</v>
      </c>
      <c r="O1602" s="487" t="s">
        <v>2532</v>
      </c>
      <c r="P1602" s="398" t="s">
        <v>574</v>
      </c>
    </row>
    <row r="1603" spans="1:16" s="401" customFormat="1" ht="60">
      <c r="A1603" s="429">
        <f t="shared" si="85"/>
        <v>1600</v>
      </c>
      <c r="B1603" s="387">
        <v>46154</v>
      </c>
      <c r="C1603" s="388">
        <v>46113</v>
      </c>
      <c r="D1603" s="389" t="s">
        <v>353</v>
      </c>
      <c r="E1603" s="39" t="s">
        <v>334</v>
      </c>
      <c r="F1603" s="491">
        <v>2726</v>
      </c>
      <c r="G1603" s="486" t="s">
        <v>2754</v>
      </c>
      <c r="H1603" s="389" t="s">
        <v>280</v>
      </c>
      <c r="I1603" s="394" t="s">
        <v>744</v>
      </c>
      <c r="J1603" s="455">
        <v>7837375000150</v>
      </c>
      <c r="K1603" s="394" t="str">
        <f t="shared" si="84"/>
        <v>XXX737500015XX</v>
      </c>
      <c r="L1603" s="391"/>
      <c r="M1603" s="484" t="s">
        <v>711</v>
      </c>
      <c r="N1603" s="487">
        <v>52026</v>
      </c>
      <c r="O1603" s="487" t="s">
        <v>2089</v>
      </c>
      <c r="P1603" s="398" t="s">
        <v>868</v>
      </c>
    </row>
    <row r="1604" spans="1:16" s="401" customFormat="1" ht="45" customHeight="1">
      <c r="A1604" s="429">
        <f t="shared" si="85"/>
        <v>1601</v>
      </c>
      <c r="B1604" s="387">
        <v>46154</v>
      </c>
      <c r="C1604" s="388">
        <v>46113</v>
      </c>
      <c r="D1604" s="389" t="s">
        <v>248</v>
      </c>
      <c r="E1604" s="484" t="s">
        <v>597</v>
      </c>
      <c r="F1604" s="491">
        <v>1619.94</v>
      </c>
      <c r="G1604" s="486" t="s">
        <v>2755</v>
      </c>
      <c r="H1604" s="392" t="s">
        <v>738</v>
      </c>
      <c r="I1604" s="484" t="s">
        <v>2583</v>
      </c>
      <c r="J1604" s="487" t="s">
        <v>2584</v>
      </c>
      <c r="K1604" s="394" t="str">
        <f t="shared" si="84"/>
        <v>XXX989390001XX</v>
      </c>
      <c r="L1604" s="391"/>
      <c r="M1604" s="484" t="s">
        <v>704</v>
      </c>
      <c r="N1604" s="487">
        <v>18635</v>
      </c>
      <c r="O1604" s="487" t="s">
        <v>2097</v>
      </c>
      <c r="P1604" s="398" t="s">
        <v>574</v>
      </c>
    </row>
    <row r="1605" spans="1:16" s="401" customFormat="1" ht="48">
      <c r="A1605" s="429">
        <f t="shared" si="85"/>
        <v>1602</v>
      </c>
      <c r="B1605" s="387">
        <v>46154</v>
      </c>
      <c r="C1605" s="388">
        <v>46143</v>
      </c>
      <c r="D1605" s="389" t="s">
        <v>248</v>
      </c>
      <c r="E1605" s="60" t="s">
        <v>0</v>
      </c>
      <c r="F1605" s="491">
        <v>33</v>
      </c>
      <c r="G1605" s="486" t="s">
        <v>2756</v>
      </c>
      <c r="H1605" s="389" t="s">
        <v>278</v>
      </c>
      <c r="I1605" s="484" t="s">
        <v>2958</v>
      </c>
      <c r="J1605" s="487" t="s">
        <v>2959</v>
      </c>
      <c r="K1605" s="394" t="str">
        <f t="shared" si="84"/>
        <v>01.635.506/0001-30</v>
      </c>
      <c r="L1605" s="391"/>
      <c r="M1605" s="484" t="s">
        <v>710</v>
      </c>
      <c r="N1605" s="487">
        <v>59985</v>
      </c>
      <c r="O1605" s="487" t="s">
        <v>2532</v>
      </c>
      <c r="P1605" s="391" t="s">
        <v>2525</v>
      </c>
    </row>
    <row r="1606" spans="1:16" s="401" customFormat="1" ht="48">
      <c r="A1606" s="429">
        <f t="shared" si="85"/>
        <v>1603</v>
      </c>
      <c r="B1606" s="387">
        <v>46154</v>
      </c>
      <c r="C1606" s="388">
        <v>46143</v>
      </c>
      <c r="D1606" s="389" t="s">
        <v>248</v>
      </c>
      <c r="E1606" s="484" t="s">
        <v>607</v>
      </c>
      <c r="F1606" s="491">
        <v>55.86</v>
      </c>
      <c r="G1606" s="486" t="s">
        <v>2757</v>
      </c>
      <c r="H1606" s="389" t="s">
        <v>736</v>
      </c>
      <c r="I1606" s="398" t="s">
        <v>2953</v>
      </c>
      <c r="J1606" s="399" t="s">
        <v>2954</v>
      </c>
      <c r="K1606" s="394" t="str">
        <f t="shared" si="84"/>
        <v>26.068.130/0003-11</v>
      </c>
      <c r="L1606" s="391"/>
      <c r="M1606" s="484" t="s">
        <v>710</v>
      </c>
      <c r="N1606" s="487">
        <v>213417</v>
      </c>
      <c r="O1606" s="487" t="s">
        <v>2532</v>
      </c>
      <c r="P1606" s="391" t="s">
        <v>2525</v>
      </c>
    </row>
    <row r="1607" spans="1:16" s="401" customFormat="1" ht="36">
      <c r="A1607" s="429">
        <f t="shared" si="85"/>
        <v>1604</v>
      </c>
      <c r="B1607" s="387">
        <v>46155</v>
      </c>
      <c r="C1607" s="388">
        <v>46113</v>
      </c>
      <c r="D1607" s="389" t="s">
        <v>248</v>
      </c>
      <c r="E1607" s="484" t="s">
        <v>591</v>
      </c>
      <c r="F1607" s="491">
        <v>22</v>
      </c>
      <c r="G1607" s="486" t="s">
        <v>2758</v>
      </c>
      <c r="H1607" s="389" t="s">
        <v>736</v>
      </c>
      <c r="I1607" s="484" t="s">
        <v>698</v>
      </c>
      <c r="J1607" s="487" t="s">
        <v>2585</v>
      </c>
      <c r="K1607" s="394" t="str">
        <f t="shared" si="84"/>
        <v>XXX553420001XX</v>
      </c>
      <c r="L1607" s="391"/>
      <c r="M1607" s="484" t="s">
        <v>708</v>
      </c>
      <c r="N1607" s="487">
        <v>788353</v>
      </c>
      <c r="O1607" s="487" t="s">
        <v>2096</v>
      </c>
      <c r="P1607" s="398" t="s">
        <v>574</v>
      </c>
    </row>
    <row r="1608" spans="1:16" s="401" customFormat="1" ht="36">
      <c r="A1608" s="429">
        <f t="shared" si="85"/>
        <v>1605</v>
      </c>
      <c r="B1608" s="387">
        <v>46155</v>
      </c>
      <c r="C1608" s="388">
        <v>46113</v>
      </c>
      <c r="D1608" s="389" t="s">
        <v>248</v>
      </c>
      <c r="E1608" s="484" t="s">
        <v>597</v>
      </c>
      <c r="F1608" s="491">
        <v>1139.8</v>
      </c>
      <c r="G1608" s="486" t="s">
        <v>2758</v>
      </c>
      <c r="H1608" s="392" t="s">
        <v>736</v>
      </c>
      <c r="I1608" s="484" t="s">
        <v>698</v>
      </c>
      <c r="J1608" s="487" t="s">
        <v>2585</v>
      </c>
      <c r="K1608" s="394" t="str">
        <f t="shared" si="84"/>
        <v>XXX553420001XX</v>
      </c>
      <c r="L1608" s="391"/>
      <c r="M1608" s="484" t="s">
        <v>708</v>
      </c>
      <c r="N1608" s="487">
        <v>788353</v>
      </c>
      <c r="O1608" s="487" t="s">
        <v>2096</v>
      </c>
      <c r="P1608" s="398" t="s">
        <v>574</v>
      </c>
    </row>
    <row r="1609" spans="1:16" s="401" customFormat="1" ht="36">
      <c r="A1609" s="429">
        <f t="shared" si="85"/>
        <v>1606</v>
      </c>
      <c r="B1609" s="387">
        <v>46155</v>
      </c>
      <c r="C1609" s="388">
        <v>46113</v>
      </c>
      <c r="D1609" s="389" t="s">
        <v>248</v>
      </c>
      <c r="E1609" s="484" t="s">
        <v>597</v>
      </c>
      <c r="F1609" s="491">
        <v>566.79999999999995</v>
      </c>
      <c r="G1609" s="486" t="s">
        <v>2759</v>
      </c>
      <c r="H1609" s="389" t="s">
        <v>738</v>
      </c>
      <c r="I1609" s="484" t="s">
        <v>2586</v>
      </c>
      <c r="J1609" s="487" t="s">
        <v>2587</v>
      </c>
      <c r="K1609" s="394" t="str">
        <f t="shared" si="84"/>
        <v>XXX819730003XX</v>
      </c>
      <c r="L1609" s="391"/>
      <c r="M1609" s="484" t="s">
        <v>704</v>
      </c>
      <c r="N1609" s="487">
        <v>224257</v>
      </c>
      <c r="O1609" s="487" t="s">
        <v>2096</v>
      </c>
      <c r="P1609" s="398" t="s">
        <v>574</v>
      </c>
    </row>
    <row r="1610" spans="1:16" s="401" customFormat="1" ht="48">
      <c r="A1610" s="429">
        <f t="shared" si="85"/>
        <v>1607</v>
      </c>
      <c r="B1610" s="387">
        <v>46155</v>
      </c>
      <c r="C1610" s="388">
        <v>46143</v>
      </c>
      <c r="D1610" s="389" t="s">
        <v>248</v>
      </c>
      <c r="E1610" s="484" t="s">
        <v>597</v>
      </c>
      <c r="F1610" s="491">
        <v>3475</v>
      </c>
      <c r="G1610" s="486" t="s">
        <v>2760</v>
      </c>
      <c r="H1610" s="389" t="s">
        <v>1029</v>
      </c>
      <c r="I1610" s="484" t="s">
        <v>2588</v>
      </c>
      <c r="J1610" s="487" t="s">
        <v>2589</v>
      </c>
      <c r="K1610" s="394" t="str">
        <f t="shared" si="84"/>
        <v>XXX551040001XX</v>
      </c>
      <c r="L1610" s="391"/>
      <c r="M1610" s="484" t="s">
        <v>706</v>
      </c>
      <c r="N1610" s="487">
        <v>2057887452</v>
      </c>
      <c r="O1610" s="487" t="s">
        <v>2533</v>
      </c>
      <c r="P1610" s="398" t="s">
        <v>574</v>
      </c>
    </row>
    <row r="1611" spans="1:16" s="401" customFormat="1" ht="48">
      <c r="A1611" s="429">
        <f t="shared" si="85"/>
        <v>1608</v>
      </c>
      <c r="B1611" s="387">
        <v>46155</v>
      </c>
      <c r="C1611" s="388">
        <v>46113</v>
      </c>
      <c r="D1611" s="389" t="s">
        <v>248</v>
      </c>
      <c r="E1611" s="484" t="s">
        <v>605</v>
      </c>
      <c r="F1611" s="491">
        <v>296.39999999999998</v>
      </c>
      <c r="G1611" s="486" t="s">
        <v>2761</v>
      </c>
      <c r="H1611" s="389" t="s">
        <v>278</v>
      </c>
      <c r="I1611" s="484" t="s">
        <v>637</v>
      </c>
      <c r="J1611" s="487" t="s">
        <v>638</v>
      </c>
      <c r="K1611" s="394" t="str">
        <f t="shared" si="84"/>
        <v>XXX128340001XX</v>
      </c>
      <c r="L1611" s="391"/>
      <c r="M1611" s="484" t="s">
        <v>713</v>
      </c>
      <c r="N1611" s="487">
        <v>74310426</v>
      </c>
      <c r="O1611" s="487" t="s">
        <v>2089</v>
      </c>
      <c r="P1611" s="398" t="s">
        <v>574</v>
      </c>
    </row>
    <row r="1612" spans="1:16" s="401" customFormat="1" ht="48">
      <c r="A1612" s="429">
        <f t="shared" si="85"/>
        <v>1609</v>
      </c>
      <c r="B1612" s="387">
        <v>46155</v>
      </c>
      <c r="C1612" s="388">
        <v>46113</v>
      </c>
      <c r="D1612" s="389" t="s">
        <v>248</v>
      </c>
      <c r="E1612" s="484" t="s">
        <v>605</v>
      </c>
      <c r="F1612" s="491">
        <v>491.69</v>
      </c>
      <c r="G1612" s="486" t="s">
        <v>2761</v>
      </c>
      <c r="H1612" s="389" t="s">
        <v>278</v>
      </c>
      <c r="I1612" s="484" t="s">
        <v>637</v>
      </c>
      <c r="J1612" s="487" t="s">
        <v>638</v>
      </c>
      <c r="K1612" s="394" t="str">
        <f t="shared" si="84"/>
        <v>XXX128340001XX</v>
      </c>
      <c r="L1612" s="391"/>
      <c r="M1612" s="484" t="s">
        <v>713</v>
      </c>
      <c r="N1612" s="487">
        <v>74310426</v>
      </c>
      <c r="O1612" s="487" t="s">
        <v>2089</v>
      </c>
      <c r="P1612" s="398" t="s">
        <v>574</v>
      </c>
    </row>
    <row r="1613" spans="1:16" s="401" customFormat="1" ht="48">
      <c r="A1613" s="429">
        <f t="shared" si="85"/>
        <v>1610</v>
      </c>
      <c r="B1613" s="387">
        <v>46155</v>
      </c>
      <c r="C1613" s="388">
        <v>46143</v>
      </c>
      <c r="D1613" s="389" t="s">
        <v>353</v>
      </c>
      <c r="E1613" s="484" t="s">
        <v>587</v>
      </c>
      <c r="F1613" s="491">
        <v>100</v>
      </c>
      <c r="G1613" s="486" t="s">
        <v>2762</v>
      </c>
      <c r="H1613" s="389" t="s">
        <v>280</v>
      </c>
      <c r="I1613" s="394" t="s">
        <v>744</v>
      </c>
      <c r="J1613" s="455">
        <v>7837375000150</v>
      </c>
      <c r="K1613" s="394" t="str">
        <f t="shared" si="84"/>
        <v>XXX737500015XX</v>
      </c>
      <c r="L1613" s="391"/>
      <c r="M1613" s="484" t="s">
        <v>708</v>
      </c>
      <c r="N1613" s="487">
        <v>52026</v>
      </c>
      <c r="O1613" s="487" t="s">
        <v>2533</v>
      </c>
      <c r="P1613" s="398" t="s">
        <v>574</v>
      </c>
    </row>
    <row r="1614" spans="1:16" s="401" customFormat="1" ht="60">
      <c r="A1614" s="429">
        <f t="shared" si="85"/>
        <v>1611</v>
      </c>
      <c r="B1614" s="387">
        <v>46155</v>
      </c>
      <c r="C1614" s="388">
        <v>46113</v>
      </c>
      <c r="D1614" s="389" t="s">
        <v>248</v>
      </c>
      <c r="E1614" s="484" t="s">
        <v>605</v>
      </c>
      <c r="F1614" s="491">
        <v>555.87</v>
      </c>
      <c r="G1614" s="486" t="s">
        <v>2763</v>
      </c>
      <c r="H1614" s="389" t="s">
        <v>278</v>
      </c>
      <c r="I1614" s="484" t="s">
        <v>637</v>
      </c>
      <c r="J1614" s="487" t="s">
        <v>638</v>
      </c>
      <c r="K1614" s="394" t="str">
        <f t="shared" si="84"/>
        <v>XXX128340001XX</v>
      </c>
      <c r="L1614" s="391"/>
      <c r="M1614" s="484" t="s">
        <v>715</v>
      </c>
      <c r="N1614" s="487">
        <v>74310426</v>
      </c>
      <c r="O1614" s="487" t="s">
        <v>2089</v>
      </c>
      <c r="P1614" s="398" t="s">
        <v>573</v>
      </c>
    </row>
    <row r="1615" spans="1:16" s="401" customFormat="1" ht="36">
      <c r="A1615" s="429">
        <f t="shared" si="85"/>
        <v>1612</v>
      </c>
      <c r="B1615" s="387">
        <v>46156</v>
      </c>
      <c r="C1615" s="388">
        <v>46113</v>
      </c>
      <c r="D1615" s="389" t="s">
        <v>248</v>
      </c>
      <c r="E1615" s="484" t="s">
        <v>597</v>
      </c>
      <c r="F1615" s="491">
        <v>20044.86</v>
      </c>
      <c r="G1615" s="486" t="s">
        <v>2764</v>
      </c>
      <c r="H1615" s="392" t="s">
        <v>738</v>
      </c>
      <c r="I1615" s="484" t="s">
        <v>2590</v>
      </c>
      <c r="J1615" s="487" t="s">
        <v>2591</v>
      </c>
      <c r="K1615" s="394" t="str">
        <f t="shared" si="84"/>
        <v>XXX105170014XX</v>
      </c>
      <c r="L1615" s="391"/>
      <c r="M1615" s="484" t="s">
        <v>708</v>
      </c>
      <c r="N1615" s="487">
        <v>165610</v>
      </c>
      <c r="O1615" s="487" t="s">
        <v>2097</v>
      </c>
      <c r="P1615" s="398" t="s">
        <v>574</v>
      </c>
    </row>
    <row r="1616" spans="1:16" s="401" customFormat="1" ht="48">
      <c r="A1616" s="429">
        <f t="shared" si="85"/>
        <v>1613</v>
      </c>
      <c r="B1616" s="387">
        <v>46156</v>
      </c>
      <c r="C1616" s="388">
        <v>46113</v>
      </c>
      <c r="D1616" s="389" t="s">
        <v>248</v>
      </c>
      <c r="E1616" s="484" t="s">
        <v>605</v>
      </c>
      <c r="F1616" s="491">
        <v>961.88</v>
      </c>
      <c r="G1616" s="486" t="s">
        <v>2765</v>
      </c>
      <c r="H1616" s="389" t="s">
        <v>278</v>
      </c>
      <c r="I1616" s="484" t="s">
        <v>1109</v>
      </c>
      <c r="J1616" s="487" t="s">
        <v>1110</v>
      </c>
      <c r="K1616" s="394" t="str">
        <f t="shared" si="84"/>
        <v>XXX375260001XX</v>
      </c>
      <c r="L1616" s="391"/>
      <c r="M1616" s="484" t="s">
        <v>708</v>
      </c>
      <c r="N1616" s="487">
        <v>1860</v>
      </c>
      <c r="O1616" s="487" t="s">
        <v>2118</v>
      </c>
      <c r="P1616" s="398" t="s">
        <v>574</v>
      </c>
    </row>
    <row r="1617" spans="1:16" s="401" customFormat="1" ht="48">
      <c r="A1617" s="429">
        <f t="shared" si="85"/>
        <v>1614</v>
      </c>
      <c r="B1617" s="387">
        <v>46156</v>
      </c>
      <c r="C1617" s="388">
        <v>46143</v>
      </c>
      <c r="D1617" s="389" t="s">
        <v>248</v>
      </c>
      <c r="E1617" s="484" t="s">
        <v>610</v>
      </c>
      <c r="F1617" s="491">
        <v>3536.9</v>
      </c>
      <c r="G1617" s="486" t="s">
        <v>2766</v>
      </c>
      <c r="H1617" s="389" t="s">
        <v>278</v>
      </c>
      <c r="I1617" s="484" t="s">
        <v>686</v>
      </c>
      <c r="J1617" s="487" t="s">
        <v>687</v>
      </c>
      <c r="K1617" s="394" t="str">
        <f t="shared" si="84"/>
        <v>XXX900500001XX</v>
      </c>
      <c r="L1617" s="391"/>
      <c r="M1617" s="484" t="s">
        <v>708</v>
      </c>
      <c r="N1617" s="487">
        <v>37452</v>
      </c>
      <c r="O1617" s="487" t="s">
        <v>2526</v>
      </c>
      <c r="P1617" s="398" t="s">
        <v>574</v>
      </c>
    </row>
    <row r="1618" spans="1:16" s="401" customFormat="1" ht="60">
      <c r="A1618" s="429">
        <f t="shared" si="85"/>
        <v>1615</v>
      </c>
      <c r="B1618" s="387">
        <v>46156</v>
      </c>
      <c r="C1618" s="388">
        <v>46143</v>
      </c>
      <c r="D1618" s="389" t="s">
        <v>248</v>
      </c>
      <c r="E1618" s="484" t="s">
        <v>610</v>
      </c>
      <c r="F1618" s="491">
        <v>7268.77</v>
      </c>
      <c r="G1618" s="486" t="s">
        <v>2767</v>
      </c>
      <c r="H1618" s="389" t="s">
        <v>736</v>
      </c>
      <c r="I1618" s="484" t="s">
        <v>686</v>
      </c>
      <c r="J1618" s="487" t="s">
        <v>687</v>
      </c>
      <c r="K1618" s="394" t="str">
        <f t="shared" si="84"/>
        <v>XXX900500001XX</v>
      </c>
      <c r="L1618" s="391"/>
      <c r="M1618" s="484" t="s">
        <v>708</v>
      </c>
      <c r="N1618" s="487">
        <v>37464</v>
      </c>
      <c r="O1618" s="487" t="s">
        <v>2526</v>
      </c>
      <c r="P1618" s="398" t="s">
        <v>574</v>
      </c>
    </row>
    <row r="1619" spans="1:16" s="401" customFormat="1" ht="48">
      <c r="A1619" s="429">
        <f t="shared" si="85"/>
        <v>1616</v>
      </c>
      <c r="B1619" s="387">
        <v>46156</v>
      </c>
      <c r="C1619" s="388">
        <v>46143</v>
      </c>
      <c r="D1619" s="389" t="s">
        <v>248</v>
      </c>
      <c r="E1619" s="484" t="s">
        <v>1551</v>
      </c>
      <c r="F1619" s="491">
        <v>992.33</v>
      </c>
      <c r="G1619" s="486" t="s">
        <v>2768</v>
      </c>
      <c r="H1619" s="389" t="s">
        <v>737</v>
      </c>
      <c r="I1619" s="484" t="s">
        <v>2592</v>
      </c>
      <c r="J1619" s="487" t="s">
        <v>2593</v>
      </c>
      <c r="K1619" s="390" t="str">
        <f t="shared" si="84"/>
        <v>XXX600300001XX</v>
      </c>
      <c r="L1619" s="403"/>
      <c r="M1619" s="484" t="s">
        <v>719</v>
      </c>
      <c r="N1619" s="487">
        <v>28</v>
      </c>
      <c r="O1619" s="487" t="s">
        <v>2528</v>
      </c>
      <c r="P1619" s="398" t="s">
        <v>868</v>
      </c>
    </row>
    <row r="1620" spans="1:16" s="401" customFormat="1" ht="36">
      <c r="A1620" s="429">
        <f t="shared" si="85"/>
        <v>1617</v>
      </c>
      <c r="B1620" s="387">
        <v>46156</v>
      </c>
      <c r="C1620" s="388">
        <v>46143</v>
      </c>
      <c r="D1620" s="389" t="s">
        <v>248</v>
      </c>
      <c r="E1620" s="484" t="s">
        <v>605</v>
      </c>
      <c r="F1620" s="491">
        <v>321.7</v>
      </c>
      <c r="G1620" s="486" t="s">
        <v>2769</v>
      </c>
      <c r="H1620" s="389" t="s">
        <v>278</v>
      </c>
      <c r="I1620" s="484" t="s">
        <v>688</v>
      </c>
      <c r="J1620" s="487" t="s">
        <v>689</v>
      </c>
      <c r="K1620" s="394" t="str">
        <f t="shared" si="84"/>
        <v>XXX016540001XX</v>
      </c>
      <c r="L1620" s="391"/>
      <c r="M1620" s="484" t="s">
        <v>708</v>
      </c>
      <c r="N1620" s="487">
        <v>2773</v>
      </c>
      <c r="O1620" s="487" t="s">
        <v>2529</v>
      </c>
      <c r="P1620" s="398" t="s">
        <v>574</v>
      </c>
    </row>
    <row r="1621" spans="1:16" s="401" customFormat="1" ht="36">
      <c r="A1621" s="429">
        <f t="shared" si="85"/>
        <v>1618</v>
      </c>
      <c r="B1621" s="387">
        <v>46156</v>
      </c>
      <c r="C1621" s="388">
        <v>46143</v>
      </c>
      <c r="D1621" s="389" t="s">
        <v>248</v>
      </c>
      <c r="E1621" s="484" t="s">
        <v>607</v>
      </c>
      <c r="F1621" s="491">
        <v>427</v>
      </c>
      <c r="G1621" s="486" t="s">
        <v>2769</v>
      </c>
      <c r="H1621" s="389" t="s">
        <v>278</v>
      </c>
      <c r="I1621" s="484" t="s">
        <v>2594</v>
      </c>
      <c r="J1621" s="487" t="s">
        <v>689</v>
      </c>
      <c r="K1621" s="394" t="str">
        <f t="shared" si="84"/>
        <v>XXX016540001XX</v>
      </c>
      <c r="L1621" s="391"/>
      <c r="M1621" s="484" t="s">
        <v>708</v>
      </c>
      <c r="N1621" s="487">
        <v>2773</v>
      </c>
      <c r="O1621" s="487" t="s">
        <v>2529</v>
      </c>
      <c r="P1621" s="398" t="s">
        <v>574</v>
      </c>
    </row>
    <row r="1622" spans="1:16" s="401" customFormat="1" ht="48">
      <c r="A1622" s="429">
        <f t="shared" si="85"/>
        <v>1619</v>
      </c>
      <c r="B1622" s="387">
        <v>46156</v>
      </c>
      <c r="C1622" s="388">
        <v>46143</v>
      </c>
      <c r="D1622" s="389" t="s">
        <v>248</v>
      </c>
      <c r="E1622" s="484" t="s">
        <v>597</v>
      </c>
      <c r="F1622" s="491">
        <v>800</v>
      </c>
      <c r="G1622" s="486" t="s">
        <v>2745</v>
      </c>
      <c r="H1622" s="389" t="s">
        <v>738</v>
      </c>
      <c r="I1622" s="484" t="s">
        <v>2156</v>
      </c>
      <c r="J1622" s="487" t="s">
        <v>2157</v>
      </c>
      <c r="K1622" s="390" t="str">
        <f t="shared" si="84"/>
        <v>XXX776730001XX</v>
      </c>
      <c r="L1622" s="403"/>
      <c r="M1622" s="484" t="s">
        <v>708</v>
      </c>
      <c r="N1622" s="487">
        <v>161</v>
      </c>
      <c r="O1622" s="487" t="s">
        <v>2528</v>
      </c>
      <c r="P1622" s="398" t="s">
        <v>574</v>
      </c>
    </row>
    <row r="1623" spans="1:16" s="401" customFormat="1" ht="36">
      <c r="A1623" s="429">
        <f t="shared" si="85"/>
        <v>1620</v>
      </c>
      <c r="B1623" s="387">
        <v>46156</v>
      </c>
      <c r="C1623" s="388">
        <v>46113</v>
      </c>
      <c r="D1623" s="389" t="s">
        <v>248</v>
      </c>
      <c r="E1623" s="484" t="s">
        <v>1214</v>
      </c>
      <c r="F1623" s="491">
        <v>198</v>
      </c>
      <c r="G1623" s="486" t="s">
        <v>2770</v>
      </c>
      <c r="H1623" s="389" t="s">
        <v>278</v>
      </c>
      <c r="I1623" s="484" t="s">
        <v>1111</v>
      </c>
      <c r="J1623" s="487" t="s">
        <v>1112</v>
      </c>
      <c r="K1623" s="390" t="str">
        <f t="shared" si="84"/>
        <v>XXX214350001XX</v>
      </c>
      <c r="L1623" s="403"/>
      <c r="M1623" s="484" t="s">
        <v>708</v>
      </c>
      <c r="N1623" s="487">
        <v>34</v>
      </c>
      <c r="O1623" s="487" t="s">
        <v>2529</v>
      </c>
      <c r="P1623" s="398" t="s">
        <v>574</v>
      </c>
    </row>
    <row r="1624" spans="1:16" s="401" customFormat="1" ht="48">
      <c r="A1624" s="429">
        <f t="shared" si="85"/>
        <v>1621</v>
      </c>
      <c r="B1624" s="387">
        <v>46156</v>
      </c>
      <c r="C1624" s="388">
        <v>46113</v>
      </c>
      <c r="D1624" s="389" t="s">
        <v>248</v>
      </c>
      <c r="E1624" s="484" t="s">
        <v>1550</v>
      </c>
      <c r="F1624" s="491">
        <v>1056.82</v>
      </c>
      <c r="G1624" s="486" t="s">
        <v>2771</v>
      </c>
      <c r="H1624" s="389" t="s">
        <v>736</v>
      </c>
      <c r="I1624" s="484" t="s">
        <v>686</v>
      </c>
      <c r="J1624" s="487" t="s">
        <v>687</v>
      </c>
      <c r="K1624" s="394" t="str">
        <f t="shared" ref="K1624:K1669" si="86">IF(J1624="","",IF(LEN(J1624)&gt;14,IF(ISBLANK(J1624),"",J1624),REPLACE(REPLACE(J1624,1,3,"XXX"),13,2,"XX")))</f>
        <v>XXX900500001XX</v>
      </c>
      <c r="L1624" s="391"/>
      <c r="M1624" s="484" t="s">
        <v>719</v>
      </c>
      <c r="N1624" s="487">
        <v>5061</v>
      </c>
      <c r="O1624" s="487" t="s">
        <v>2118</v>
      </c>
      <c r="P1624" s="398" t="s">
        <v>868</v>
      </c>
    </row>
    <row r="1625" spans="1:16" s="401" customFormat="1" ht="48">
      <c r="A1625" s="429">
        <f t="shared" si="85"/>
        <v>1622</v>
      </c>
      <c r="B1625" s="387">
        <v>46156</v>
      </c>
      <c r="C1625" s="388">
        <v>46143</v>
      </c>
      <c r="D1625" s="389" t="s">
        <v>248</v>
      </c>
      <c r="E1625" s="484" t="s">
        <v>610</v>
      </c>
      <c r="F1625" s="491">
        <v>2615.15</v>
      </c>
      <c r="G1625" s="486" t="s">
        <v>2772</v>
      </c>
      <c r="H1625" s="389" t="s">
        <v>736</v>
      </c>
      <c r="I1625" s="484" t="s">
        <v>686</v>
      </c>
      <c r="J1625" s="487" t="s">
        <v>687</v>
      </c>
      <c r="K1625" s="394" t="str">
        <f t="shared" si="86"/>
        <v>XXX900500001XX</v>
      </c>
      <c r="L1625" s="391"/>
      <c r="M1625" s="484" t="s">
        <v>719</v>
      </c>
      <c r="N1625" s="487">
        <v>37494</v>
      </c>
      <c r="O1625" s="487" t="s">
        <v>2528</v>
      </c>
      <c r="P1625" s="398" t="s">
        <v>868</v>
      </c>
    </row>
    <row r="1626" spans="1:16" s="401" customFormat="1" ht="48">
      <c r="A1626" s="429">
        <f t="shared" si="85"/>
        <v>1623</v>
      </c>
      <c r="B1626" s="387">
        <v>46156</v>
      </c>
      <c r="C1626" s="388">
        <v>46113</v>
      </c>
      <c r="D1626" s="389" t="s">
        <v>248</v>
      </c>
      <c r="E1626" s="484" t="s">
        <v>1550</v>
      </c>
      <c r="F1626" s="491">
        <v>1056.82</v>
      </c>
      <c r="G1626" s="486" t="s">
        <v>2771</v>
      </c>
      <c r="H1626" s="389" t="s">
        <v>736</v>
      </c>
      <c r="I1626" s="484" t="s">
        <v>686</v>
      </c>
      <c r="J1626" s="487" t="s">
        <v>687</v>
      </c>
      <c r="K1626" s="394" t="str">
        <f t="shared" si="86"/>
        <v>XXX900500001XX</v>
      </c>
      <c r="L1626" s="391"/>
      <c r="M1626" s="484" t="s">
        <v>719</v>
      </c>
      <c r="N1626" s="487">
        <v>5060</v>
      </c>
      <c r="O1626" s="487" t="s">
        <v>2527</v>
      </c>
      <c r="P1626" s="398" t="s">
        <v>868</v>
      </c>
    </row>
    <row r="1627" spans="1:16" s="401" customFormat="1" ht="36">
      <c r="A1627" s="429">
        <f t="shared" si="85"/>
        <v>1624</v>
      </c>
      <c r="B1627" s="387">
        <v>46156</v>
      </c>
      <c r="C1627" s="388">
        <v>46113</v>
      </c>
      <c r="D1627" s="389" t="s">
        <v>248</v>
      </c>
      <c r="E1627" s="484" t="s">
        <v>604</v>
      </c>
      <c r="F1627" s="491">
        <v>16695.03</v>
      </c>
      <c r="G1627" s="486" t="s">
        <v>2773</v>
      </c>
      <c r="H1627" s="389" t="s">
        <v>1029</v>
      </c>
      <c r="I1627" s="484" t="s">
        <v>1146</v>
      </c>
      <c r="J1627" s="487" t="s">
        <v>683</v>
      </c>
      <c r="K1627" s="390" t="str">
        <f t="shared" si="86"/>
        <v>XXX232120001XX</v>
      </c>
      <c r="L1627" s="391"/>
      <c r="M1627" s="484" t="s">
        <v>707</v>
      </c>
      <c r="N1627" s="487">
        <v>2322844</v>
      </c>
      <c r="O1627" s="487" t="s">
        <v>2529</v>
      </c>
      <c r="P1627" s="398" t="s">
        <v>868</v>
      </c>
    </row>
    <row r="1628" spans="1:16" s="401" customFormat="1" ht="36">
      <c r="A1628" s="429">
        <f t="shared" si="85"/>
        <v>1625</v>
      </c>
      <c r="B1628" s="387">
        <v>46156</v>
      </c>
      <c r="C1628" s="388">
        <v>46143</v>
      </c>
      <c r="D1628" s="389" t="s">
        <v>248</v>
      </c>
      <c r="E1628" s="484" t="s">
        <v>1550</v>
      </c>
      <c r="F1628" s="491">
        <v>909.51</v>
      </c>
      <c r="G1628" s="486" t="s">
        <v>2774</v>
      </c>
      <c r="H1628" s="389" t="s">
        <v>736</v>
      </c>
      <c r="I1628" s="484" t="s">
        <v>686</v>
      </c>
      <c r="J1628" s="487" t="s">
        <v>687</v>
      </c>
      <c r="K1628" s="394" t="str">
        <f t="shared" si="86"/>
        <v>XXX900500001XX</v>
      </c>
      <c r="L1628" s="391"/>
      <c r="M1628" s="484" t="s">
        <v>719</v>
      </c>
      <c r="N1628" s="487">
        <v>2201</v>
      </c>
      <c r="O1628" s="487" t="s">
        <v>2527</v>
      </c>
      <c r="P1628" s="398" t="s">
        <v>868</v>
      </c>
    </row>
    <row r="1629" spans="1:16" s="401" customFormat="1" ht="60">
      <c r="A1629" s="429">
        <f t="shared" ref="A1629:A1690" si="87">IF(B1629="","",ROW()-ROW($A$3))</f>
        <v>1626</v>
      </c>
      <c r="B1629" s="387">
        <v>46156</v>
      </c>
      <c r="C1629" s="388">
        <v>46143</v>
      </c>
      <c r="D1629" s="389" t="s">
        <v>248</v>
      </c>
      <c r="E1629" s="484" t="s">
        <v>610</v>
      </c>
      <c r="F1629" s="491">
        <v>2766.12</v>
      </c>
      <c r="G1629" s="486" t="s">
        <v>2775</v>
      </c>
      <c r="H1629" s="389" t="s">
        <v>736</v>
      </c>
      <c r="I1629" s="484" t="s">
        <v>686</v>
      </c>
      <c r="J1629" s="487" t="s">
        <v>687</v>
      </c>
      <c r="K1629" s="394" t="str">
        <f t="shared" si="86"/>
        <v>XXX900500001XX</v>
      </c>
      <c r="L1629" s="403"/>
      <c r="M1629" s="484" t="s">
        <v>719</v>
      </c>
      <c r="N1629" s="487">
        <v>37489</v>
      </c>
      <c r="O1629" s="487" t="s">
        <v>2527</v>
      </c>
      <c r="P1629" s="398" t="s">
        <v>868</v>
      </c>
    </row>
    <row r="1630" spans="1:16" s="401" customFormat="1" ht="60">
      <c r="A1630" s="429">
        <f t="shared" si="87"/>
        <v>1627</v>
      </c>
      <c r="B1630" s="387">
        <v>46156</v>
      </c>
      <c r="C1630" s="388">
        <v>46113</v>
      </c>
      <c r="D1630" s="389" t="s">
        <v>248</v>
      </c>
      <c r="E1630" s="484" t="s">
        <v>1552</v>
      </c>
      <c r="F1630" s="491">
        <v>14250</v>
      </c>
      <c r="G1630" s="486" t="s">
        <v>2776</v>
      </c>
      <c r="H1630" s="389" t="s">
        <v>736</v>
      </c>
      <c r="I1630" s="484" t="s">
        <v>2595</v>
      </c>
      <c r="J1630" s="487" t="s">
        <v>2596</v>
      </c>
      <c r="K1630" s="394" t="str">
        <f t="shared" si="86"/>
        <v>XXX681350001XX</v>
      </c>
      <c r="L1630" s="403"/>
      <c r="M1630" s="484" t="s">
        <v>707</v>
      </c>
      <c r="N1630" s="487">
        <v>64</v>
      </c>
      <c r="O1630" s="487" t="s">
        <v>2118</v>
      </c>
      <c r="P1630" s="398" t="s">
        <v>868</v>
      </c>
    </row>
    <row r="1631" spans="1:16" s="401" customFormat="1" ht="36">
      <c r="A1631" s="429">
        <f t="shared" si="87"/>
        <v>1628</v>
      </c>
      <c r="B1631" s="387">
        <v>46156</v>
      </c>
      <c r="C1631" s="388">
        <v>46143</v>
      </c>
      <c r="D1631" s="389" t="s">
        <v>248</v>
      </c>
      <c r="E1631" s="484" t="s">
        <v>594</v>
      </c>
      <c r="F1631" s="491">
        <v>8075</v>
      </c>
      <c r="G1631" s="486" t="s">
        <v>2777</v>
      </c>
      <c r="H1631" s="389" t="s">
        <v>737</v>
      </c>
      <c r="I1631" s="484" t="s">
        <v>2135</v>
      </c>
      <c r="J1631" s="487" t="s">
        <v>2136</v>
      </c>
      <c r="K1631" s="394" t="str">
        <f t="shared" si="86"/>
        <v>XXX992210001XX</v>
      </c>
      <c r="L1631" s="391"/>
      <c r="M1631" s="484" t="s">
        <v>707</v>
      </c>
      <c r="N1631" s="487">
        <v>19</v>
      </c>
      <c r="O1631" s="487" t="s">
        <v>2527</v>
      </c>
      <c r="P1631" s="398" t="s">
        <v>868</v>
      </c>
    </row>
    <row r="1632" spans="1:16" s="401" customFormat="1" ht="72">
      <c r="A1632" s="429">
        <f t="shared" si="87"/>
        <v>1629</v>
      </c>
      <c r="B1632" s="387">
        <v>46156</v>
      </c>
      <c r="C1632" s="388">
        <v>46113</v>
      </c>
      <c r="D1632" s="389" t="s">
        <v>248</v>
      </c>
      <c r="E1632" s="484" t="s">
        <v>1213</v>
      </c>
      <c r="F1632" s="491">
        <v>8550</v>
      </c>
      <c r="G1632" s="486" t="s">
        <v>2778</v>
      </c>
      <c r="H1632" s="392" t="s">
        <v>278</v>
      </c>
      <c r="I1632" s="484" t="s">
        <v>1105</v>
      </c>
      <c r="J1632" s="487" t="s">
        <v>1106</v>
      </c>
      <c r="K1632" s="394" t="str">
        <f t="shared" si="86"/>
        <v>XXX048080001XX</v>
      </c>
      <c r="L1632" s="391"/>
      <c r="M1632" s="484" t="s">
        <v>707</v>
      </c>
      <c r="N1632" s="487">
        <v>48</v>
      </c>
      <c r="O1632" s="487" t="s">
        <v>2118</v>
      </c>
      <c r="P1632" s="398" t="s">
        <v>868</v>
      </c>
    </row>
    <row r="1633" spans="1:16" s="401" customFormat="1" ht="72">
      <c r="A1633" s="429">
        <f t="shared" si="87"/>
        <v>1630</v>
      </c>
      <c r="B1633" s="387">
        <v>46156</v>
      </c>
      <c r="C1633" s="388">
        <v>46113</v>
      </c>
      <c r="D1633" s="389" t="s">
        <v>248</v>
      </c>
      <c r="E1633" s="484" t="s">
        <v>1552</v>
      </c>
      <c r="F1633" s="491">
        <v>24497.5</v>
      </c>
      <c r="G1633" s="486" t="s">
        <v>2779</v>
      </c>
      <c r="H1633" s="389" t="s">
        <v>736</v>
      </c>
      <c r="I1633" s="484" t="s">
        <v>2597</v>
      </c>
      <c r="J1633" s="487" t="s">
        <v>2598</v>
      </c>
      <c r="K1633" s="394" t="str">
        <f t="shared" si="86"/>
        <v>XXX305540001XX</v>
      </c>
      <c r="L1633" s="391"/>
      <c r="M1633" s="484" t="s">
        <v>707</v>
      </c>
      <c r="N1633" s="487">
        <v>84</v>
      </c>
      <c r="O1633" s="487" t="s">
        <v>2527</v>
      </c>
      <c r="P1633" s="398" t="s">
        <v>868</v>
      </c>
    </row>
    <row r="1634" spans="1:16" s="401" customFormat="1" ht="48">
      <c r="A1634" s="429">
        <f t="shared" si="87"/>
        <v>1631</v>
      </c>
      <c r="B1634" s="387">
        <v>46156</v>
      </c>
      <c r="C1634" s="388">
        <v>46113</v>
      </c>
      <c r="D1634" s="389" t="s">
        <v>248</v>
      </c>
      <c r="E1634" s="484" t="s">
        <v>607</v>
      </c>
      <c r="F1634" s="491">
        <v>3894.71</v>
      </c>
      <c r="G1634" s="486" t="s">
        <v>2780</v>
      </c>
      <c r="H1634" s="392" t="s">
        <v>278</v>
      </c>
      <c r="I1634" s="484" t="s">
        <v>747</v>
      </c>
      <c r="J1634" s="487" t="s">
        <v>748</v>
      </c>
      <c r="K1634" s="394" t="str">
        <f t="shared" si="86"/>
        <v>XXX262980001XX</v>
      </c>
      <c r="L1634" s="391"/>
      <c r="M1634" s="484" t="s">
        <v>708</v>
      </c>
      <c r="N1634" s="487">
        <v>825</v>
      </c>
      <c r="O1634" s="487" t="s">
        <v>2527</v>
      </c>
      <c r="P1634" s="398" t="s">
        <v>574</v>
      </c>
    </row>
    <row r="1635" spans="1:16" s="401" customFormat="1" ht="60">
      <c r="A1635" s="429">
        <f t="shared" si="87"/>
        <v>1632</v>
      </c>
      <c r="B1635" s="387">
        <v>46156</v>
      </c>
      <c r="C1635" s="388">
        <v>46143</v>
      </c>
      <c r="D1635" s="389" t="s">
        <v>248</v>
      </c>
      <c r="E1635" s="484" t="s">
        <v>596</v>
      </c>
      <c r="F1635" s="491">
        <v>1330</v>
      </c>
      <c r="G1635" s="486" t="s">
        <v>2781</v>
      </c>
      <c r="H1635" s="389" t="s">
        <v>737</v>
      </c>
      <c r="I1635" s="484" t="s">
        <v>662</v>
      </c>
      <c r="J1635" s="487" t="s">
        <v>663</v>
      </c>
      <c r="K1635" s="394" t="str">
        <f t="shared" si="86"/>
        <v>XXX901370001XX</v>
      </c>
      <c r="L1635" s="391"/>
      <c r="M1635" s="484" t="s">
        <v>708</v>
      </c>
      <c r="N1635" s="487">
        <v>464</v>
      </c>
      <c r="O1635" s="487" t="s">
        <v>2527</v>
      </c>
      <c r="P1635" s="398" t="s">
        <v>868</v>
      </c>
    </row>
    <row r="1636" spans="1:16" s="401" customFormat="1" ht="48">
      <c r="A1636" s="429">
        <f t="shared" si="87"/>
        <v>1633</v>
      </c>
      <c r="B1636" s="387">
        <v>46156</v>
      </c>
      <c r="C1636" s="388">
        <v>46143</v>
      </c>
      <c r="D1636" s="389" t="s">
        <v>248</v>
      </c>
      <c r="E1636" s="484" t="s">
        <v>610</v>
      </c>
      <c r="F1636" s="491">
        <v>1428.76</v>
      </c>
      <c r="G1636" s="486" t="s">
        <v>2782</v>
      </c>
      <c r="H1636" s="389" t="s">
        <v>736</v>
      </c>
      <c r="I1636" s="484" t="s">
        <v>686</v>
      </c>
      <c r="J1636" s="487" t="s">
        <v>687</v>
      </c>
      <c r="K1636" s="394" t="str">
        <f t="shared" si="86"/>
        <v>XXX900500001XX</v>
      </c>
      <c r="L1636" s="391"/>
      <c r="M1636" s="484" t="s">
        <v>719</v>
      </c>
      <c r="N1636" s="487">
        <v>37485</v>
      </c>
      <c r="O1636" s="487" t="s">
        <v>2527</v>
      </c>
      <c r="P1636" s="398" t="s">
        <v>868</v>
      </c>
    </row>
    <row r="1637" spans="1:16" s="401" customFormat="1" ht="48">
      <c r="A1637" s="429">
        <f t="shared" si="87"/>
        <v>1634</v>
      </c>
      <c r="B1637" s="387">
        <v>46156</v>
      </c>
      <c r="C1637" s="388">
        <v>46143</v>
      </c>
      <c r="D1637" s="392" t="s">
        <v>132</v>
      </c>
      <c r="E1637" s="484" t="s">
        <v>1220</v>
      </c>
      <c r="F1637" s="491">
        <v>2280</v>
      </c>
      <c r="G1637" s="486" t="s">
        <v>2783</v>
      </c>
      <c r="H1637" s="392" t="s">
        <v>736</v>
      </c>
      <c r="I1637" s="484" t="s">
        <v>2139</v>
      </c>
      <c r="J1637" s="487" t="s">
        <v>2140</v>
      </c>
      <c r="K1637" s="394" t="str">
        <f t="shared" si="86"/>
        <v>XXX461720001XX</v>
      </c>
      <c r="L1637" s="391"/>
      <c r="M1637" s="484" t="s">
        <v>719</v>
      </c>
      <c r="N1637" s="487">
        <v>60351</v>
      </c>
      <c r="O1637" s="487" t="s">
        <v>2528</v>
      </c>
      <c r="P1637" s="398" t="s">
        <v>868</v>
      </c>
    </row>
    <row r="1638" spans="1:16" s="401" customFormat="1" ht="48">
      <c r="A1638" s="429">
        <f t="shared" si="87"/>
        <v>1635</v>
      </c>
      <c r="B1638" s="387">
        <v>46156</v>
      </c>
      <c r="C1638" s="388">
        <v>46143</v>
      </c>
      <c r="D1638" s="389" t="s">
        <v>248</v>
      </c>
      <c r="E1638" s="484" t="s">
        <v>594</v>
      </c>
      <c r="F1638" s="491">
        <v>15017.65</v>
      </c>
      <c r="G1638" s="486" t="s">
        <v>2784</v>
      </c>
      <c r="H1638" s="392" t="s">
        <v>736</v>
      </c>
      <c r="I1638" s="484" t="s">
        <v>1103</v>
      </c>
      <c r="J1638" s="487" t="s">
        <v>1104</v>
      </c>
      <c r="K1638" s="394" t="str">
        <f t="shared" si="86"/>
        <v>XXX443600001XX</v>
      </c>
      <c r="L1638" s="391"/>
      <c r="M1638" s="484" t="s">
        <v>707</v>
      </c>
      <c r="N1638" s="487">
        <v>22</v>
      </c>
      <c r="O1638" s="487" t="s">
        <v>2530</v>
      </c>
      <c r="P1638" s="398" t="s">
        <v>868</v>
      </c>
    </row>
    <row r="1639" spans="1:16" s="401" customFormat="1" ht="48">
      <c r="A1639" s="429">
        <f t="shared" si="87"/>
        <v>1636</v>
      </c>
      <c r="B1639" s="387">
        <v>46156</v>
      </c>
      <c r="C1639" s="388">
        <v>46143</v>
      </c>
      <c r="D1639" s="389" t="s">
        <v>248</v>
      </c>
      <c r="E1639" s="484" t="s">
        <v>2254</v>
      </c>
      <c r="F1639" s="491">
        <v>4741.91</v>
      </c>
      <c r="G1639" s="486" t="s">
        <v>2785</v>
      </c>
      <c r="H1639" s="389" t="s">
        <v>737</v>
      </c>
      <c r="I1639" s="484" t="s">
        <v>2123</v>
      </c>
      <c r="J1639" s="487" t="s">
        <v>2124</v>
      </c>
      <c r="K1639" s="394" t="str">
        <f t="shared" si="86"/>
        <v>XXX563670001XX</v>
      </c>
      <c r="L1639" s="391"/>
      <c r="M1639" s="484" t="s">
        <v>707</v>
      </c>
      <c r="N1639" s="487">
        <v>60</v>
      </c>
      <c r="O1639" s="487" t="s">
        <v>2530</v>
      </c>
      <c r="P1639" s="398" t="s">
        <v>868</v>
      </c>
    </row>
    <row r="1640" spans="1:16" s="401" customFormat="1" ht="36">
      <c r="A1640" s="429">
        <f t="shared" si="87"/>
        <v>1637</v>
      </c>
      <c r="B1640" s="387">
        <v>46156</v>
      </c>
      <c r="C1640" s="388">
        <v>46143</v>
      </c>
      <c r="D1640" s="389" t="s">
        <v>248</v>
      </c>
      <c r="E1640" s="484" t="s">
        <v>2674</v>
      </c>
      <c r="F1640" s="491">
        <v>5200</v>
      </c>
      <c r="G1640" s="486" t="s">
        <v>2786</v>
      </c>
      <c r="H1640" s="389" t="s">
        <v>737</v>
      </c>
      <c r="I1640" s="484" t="s">
        <v>2599</v>
      </c>
      <c r="J1640" s="487" t="s">
        <v>2600</v>
      </c>
      <c r="K1640" s="394" t="str">
        <f t="shared" si="86"/>
        <v>XXX265130001XX</v>
      </c>
      <c r="L1640" s="391"/>
      <c r="M1640" s="484" t="s">
        <v>719</v>
      </c>
      <c r="N1640" s="487">
        <v>7644</v>
      </c>
      <c r="O1640" s="487" t="s">
        <v>2530</v>
      </c>
      <c r="P1640" s="398" t="s">
        <v>868</v>
      </c>
    </row>
    <row r="1641" spans="1:16" s="401" customFormat="1" ht="36">
      <c r="A1641" s="429">
        <f t="shared" si="87"/>
        <v>1638</v>
      </c>
      <c r="B1641" s="387">
        <v>46156</v>
      </c>
      <c r="C1641" s="388">
        <v>46143</v>
      </c>
      <c r="D1641" s="389" t="s">
        <v>248</v>
      </c>
      <c r="E1641" s="484" t="s">
        <v>802</v>
      </c>
      <c r="F1641" s="491">
        <v>1455</v>
      </c>
      <c r="G1641" s="486" t="s">
        <v>2787</v>
      </c>
      <c r="H1641" s="389" t="s">
        <v>737</v>
      </c>
      <c r="I1641" s="484" t="s">
        <v>2601</v>
      </c>
      <c r="J1641" s="487" t="s">
        <v>1488</v>
      </c>
      <c r="K1641" s="394" t="str">
        <f t="shared" si="86"/>
        <v>XXX671560001XX</v>
      </c>
      <c r="L1641" s="391"/>
      <c r="M1641" s="484" t="s">
        <v>708</v>
      </c>
      <c r="N1641" s="487">
        <v>77</v>
      </c>
      <c r="O1641" s="487" t="s">
        <v>2530</v>
      </c>
      <c r="P1641" s="398" t="s">
        <v>574</v>
      </c>
    </row>
    <row r="1642" spans="1:16" s="401" customFormat="1" ht="48">
      <c r="A1642" s="429">
        <f t="shared" si="87"/>
        <v>1639</v>
      </c>
      <c r="B1642" s="387">
        <v>46156</v>
      </c>
      <c r="C1642" s="388">
        <v>46143</v>
      </c>
      <c r="D1642" s="389" t="s">
        <v>248</v>
      </c>
      <c r="E1642" s="484" t="s">
        <v>592</v>
      </c>
      <c r="F1642" s="491">
        <v>717.8</v>
      </c>
      <c r="G1642" s="486" t="s">
        <v>2788</v>
      </c>
      <c r="H1642" s="389" t="s">
        <v>1029</v>
      </c>
      <c r="I1642" s="484" t="s">
        <v>2602</v>
      </c>
      <c r="J1642" s="487" t="s">
        <v>2603</v>
      </c>
      <c r="K1642" s="394" t="str">
        <f t="shared" si="86"/>
        <v>XXX526430001XX</v>
      </c>
      <c r="L1642" s="391"/>
      <c r="M1642" s="484" t="s">
        <v>708</v>
      </c>
      <c r="N1642" s="487">
        <v>683</v>
      </c>
      <c r="O1642" s="487" t="s">
        <v>2530</v>
      </c>
      <c r="P1642" s="398" t="s">
        <v>574</v>
      </c>
    </row>
    <row r="1643" spans="1:16" s="401" customFormat="1" ht="48">
      <c r="A1643" s="429">
        <f t="shared" si="87"/>
        <v>1640</v>
      </c>
      <c r="B1643" s="387">
        <v>46156</v>
      </c>
      <c r="C1643" s="388">
        <v>46143</v>
      </c>
      <c r="D1643" s="389" t="s">
        <v>248</v>
      </c>
      <c r="E1643" s="484" t="s">
        <v>610</v>
      </c>
      <c r="F1643" s="491">
        <v>2731.97</v>
      </c>
      <c r="G1643" s="486" t="s">
        <v>2789</v>
      </c>
      <c r="H1643" s="389" t="s">
        <v>736</v>
      </c>
      <c r="I1643" s="484" t="s">
        <v>686</v>
      </c>
      <c r="J1643" s="487" t="s">
        <v>687</v>
      </c>
      <c r="K1643" s="390" t="str">
        <f t="shared" si="86"/>
        <v>XXX900500001XX</v>
      </c>
      <c r="L1643" s="391"/>
      <c r="M1643" s="484" t="s">
        <v>719</v>
      </c>
      <c r="N1643" s="487">
        <v>37513</v>
      </c>
      <c r="O1643" s="487" t="s">
        <v>2529</v>
      </c>
      <c r="P1643" s="398" t="s">
        <v>868</v>
      </c>
    </row>
    <row r="1644" spans="1:16" s="401" customFormat="1" ht="48">
      <c r="A1644" s="429">
        <f t="shared" si="87"/>
        <v>1641</v>
      </c>
      <c r="B1644" s="387">
        <v>46156</v>
      </c>
      <c r="C1644" s="388">
        <v>46143</v>
      </c>
      <c r="D1644" s="389" t="s">
        <v>248</v>
      </c>
      <c r="E1644" s="484" t="s">
        <v>610</v>
      </c>
      <c r="F1644" s="491">
        <v>70005.58</v>
      </c>
      <c r="G1644" s="486" t="s">
        <v>2790</v>
      </c>
      <c r="H1644" s="389" t="s">
        <v>736</v>
      </c>
      <c r="I1644" s="484" t="s">
        <v>686</v>
      </c>
      <c r="J1644" s="487" t="s">
        <v>687</v>
      </c>
      <c r="K1644" s="394" t="str">
        <f t="shared" si="86"/>
        <v>XXX900500001XX</v>
      </c>
      <c r="L1644" s="391"/>
      <c r="M1644" s="484" t="s">
        <v>719</v>
      </c>
      <c r="N1644" s="487">
        <v>37512</v>
      </c>
      <c r="O1644" s="487" t="s">
        <v>2529</v>
      </c>
      <c r="P1644" s="398" t="s">
        <v>868</v>
      </c>
    </row>
    <row r="1645" spans="1:16" s="401" customFormat="1" ht="36">
      <c r="A1645" s="429">
        <f t="shared" si="87"/>
        <v>1642</v>
      </c>
      <c r="B1645" s="387">
        <v>46156</v>
      </c>
      <c r="C1645" s="388">
        <v>46113</v>
      </c>
      <c r="D1645" s="389" t="s">
        <v>248</v>
      </c>
      <c r="E1645" s="484" t="s">
        <v>1552</v>
      </c>
      <c r="F1645" s="491">
        <v>9500</v>
      </c>
      <c r="G1645" s="486" t="s">
        <v>2791</v>
      </c>
      <c r="H1645" s="389" t="s">
        <v>736</v>
      </c>
      <c r="I1645" s="484" t="s">
        <v>2604</v>
      </c>
      <c r="J1645" s="487" t="s">
        <v>2605</v>
      </c>
      <c r="K1645" s="394" t="str">
        <f t="shared" si="86"/>
        <v>XXX148620001XX</v>
      </c>
      <c r="L1645" s="403"/>
      <c r="M1645" s="484" t="s">
        <v>707</v>
      </c>
      <c r="N1645" s="487">
        <v>719</v>
      </c>
      <c r="O1645" s="487" t="s">
        <v>2531</v>
      </c>
      <c r="P1645" s="398" t="s">
        <v>868</v>
      </c>
    </row>
    <row r="1646" spans="1:16" s="401" customFormat="1" ht="36">
      <c r="A1646" s="429">
        <f t="shared" si="87"/>
        <v>1643</v>
      </c>
      <c r="B1646" s="387">
        <v>46156</v>
      </c>
      <c r="C1646" s="388">
        <v>46143</v>
      </c>
      <c r="D1646" s="389" t="s">
        <v>248</v>
      </c>
      <c r="E1646" s="60" t="s">
        <v>87</v>
      </c>
      <c r="F1646" s="491">
        <v>3429.65</v>
      </c>
      <c r="G1646" s="486" t="s">
        <v>2792</v>
      </c>
      <c r="H1646" s="389" t="s">
        <v>278</v>
      </c>
      <c r="I1646" s="484" t="s">
        <v>2606</v>
      </c>
      <c r="J1646" s="487" t="s">
        <v>2607</v>
      </c>
      <c r="K1646" s="394" t="str">
        <f t="shared" si="86"/>
        <v>XXX502210001XX</v>
      </c>
      <c r="L1646" s="391"/>
      <c r="M1646" s="484" t="s">
        <v>708</v>
      </c>
      <c r="N1646" s="487">
        <v>70</v>
      </c>
      <c r="O1646" s="487" t="s">
        <v>2531</v>
      </c>
      <c r="P1646" s="398" t="s">
        <v>574</v>
      </c>
    </row>
    <row r="1647" spans="1:16" s="401" customFormat="1" ht="36">
      <c r="A1647" s="429">
        <f t="shared" si="87"/>
        <v>1644</v>
      </c>
      <c r="B1647" s="387">
        <v>46156</v>
      </c>
      <c r="C1647" s="388">
        <v>46143</v>
      </c>
      <c r="D1647" s="389" t="s">
        <v>248</v>
      </c>
      <c r="E1647" s="484" t="s">
        <v>594</v>
      </c>
      <c r="F1647" s="491">
        <v>26600</v>
      </c>
      <c r="G1647" s="486" t="s">
        <v>2793</v>
      </c>
      <c r="H1647" s="392" t="s">
        <v>736</v>
      </c>
      <c r="I1647" s="484" t="s">
        <v>2135</v>
      </c>
      <c r="J1647" s="487" t="s">
        <v>2136</v>
      </c>
      <c r="K1647" s="394" t="str">
        <f t="shared" si="86"/>
        <v>XXX992210001XX</v>
      </c>
      <c r="L1647" s="391"/>
      <c r="M1647" s="484" t="s">
        <v>707</v>
      </c>
      <c r="N1647" s="487">
        <v>20</v>
      </c>
      <c r="O1647" s="487" t="s">
        <v>2532</v>
      </c>
      <c r="P1647" s="398" t="s">
        <v>868</v>
      </c>
    </row>
    <row r="1648" spans="1:16" s="401" customFormat="1" ht="36">
      <c r="A1648" s="429">
        <f t="shared" si="87"/>
        <v>1645</v>
      </c>
      <c r="B1648" s="387">
        <v>46156</v>
      </c>
      <c r="C1648" s="388">
        <v>46143</v>
      </c>
      <c r="D1648" s="389" t="s">
        <v>248</v>
      </c>
      <c r="E1648" s="484" t="s">
        <v>594</v>
      </c>
      <c r="F1648" s="491">
        <v>2850</v>
      </c>
      <c r="G1648" s="486" t="s">
        <v>2793</v>
      </c>
      <c r="H1648" s="392" t="s">
        <v>736</v>
      </c>
      <c r="I1648" s="484" t="s">
        <v>2135</v>
      </c>
      <c r="J1648" s="487" t="s">
        <v>2136</v>
      </c>
      <c r="K1648" s="394" t="str">
        <f t="shared" si="86"/>
        <v>XXX992210001XX</v>
      </c>
      <c r="L1648" s="391"/>
      <c r="M1648" s="484" t="s">
        <v>707</v>
      </c>
      <c r="N1648" s="487">
        <v>21</v>
      </c>
      <c r="O1648" s="487" t="s">
        <v>2532</v>
      </c>
      <c r="P1648" s="398" t="s">
        <v>868</v>
      </c>
    </row>
    <row r="1649" spans="1:16" s="401" customFormat="1" ht="48">
      <c r="A1649" s="429">
        <f t="shared" si="87"/>
        <v>1646</v>
      </c>
      <c r="B1649" s="387">
        <v>46156</v>
      </c>
      <c r="C1649" s="388">
        <v>46143</v>
      </c>
      <c r="D1649" s="389" t="s">
        <v>248</v>
      </c>
      <c r="E1649" s="60" t="s">
        <v>494</v>
      </c>
      <c r="F1649" s="491">
        <v>40341.61</v>
      </c>
      <c r="G1649" s="486" t="s">
        <v>1644</v>
      </c>
      <c r="H1649" s="389" t="s">
        <v>736</v>
      </c>
      <c r="I1649" s="484" t="s">
        <v>1455</v>
      </c>
      <c r="J1649" s="487" t="s">
        <v>1456</v>
      </c>
      <c r="K1649" s="394" t="str">
        <f t="shared" si="86"/>
        <v>XXX152670001XX</v>
      </c>
      <c r="L1649" s="391"/>
      <c r="M1649" s="484" t="s">
        <v>707</v>
      </c>
      <c r="N1649" s="487">
        <v>15</v>
      </c>
      <c r="O1649" s="487" t="s">
        <v>2551</v>
      </c>
      <c r="P1649" s="398" t="s">
        <v>868</v>
      </c>
    </row>
    <row r="1650" spans="1:16" s="401" customFormat="1" ht="36">
      <c r="A1650" s="429">
        <f t="shared" si="87"/>
        <v>1647</v>
      </c>
      <c r="B1650" s="387">
        <v>46156</v>
      </c>
      <c r="C1650" s="388">
        <v>46113</v>
      </c>
      <c r="D1650" s="389" t="s">
        <v>248</v>
      </c>
      <c r="E1650" s="484" t="s">
        <v>604</v>
      </c>
      <c r="F1650" s="491">
        <v>5400.96</v>
      </c>
      <c r="G1650" s="486" t="s">
        <v>2773</v>
      </c>
      <c r="H1650" s="389" t="s">
        <v>1029</v>
      </c>
      <c r="I1650" s="484" t="s">
        <v>1146</v>
      </c>
      <c r="J1650" s="487" t="s">
        <v>683</v>
      </c>
      <c r="K1650" s="394" t="str">
        <f t="shared" si="86"/>
        <v>XXX232120001XX</v>
      </c>
      <c r="L1650" s="391"/>
      <c r="M1650" s="484" t="s">
        <v>913</v>
      </c>
      <c r="N1650" s="487">
        <v>1279596</v>
      </c>
      <c r="O1650" s="487" t="s">
        <v>2529</v>
      </c>
      <c r="P1650" s="398" t="s">
        <v>868</v>
      </c>
    </row>
    <row r="1651" spans="1:16" s="401" customFormat="1" ht="36">
      <c r="A1651" s="429">
        <f t="shared" si="87"/>
        <v>1648</v>
      </c>
      <c r="B1651" s="387">
        <v>46156</v>
      </c>
      <c r="C1651" s="388">
        <v>46143</v>
      </c>
      <c r="D1651" s="389" t="s">
        <v>248</v>
      </c>
      <c r="E1651" s="484" t="s">
        <v>592</v>
      </c>
      <c r="F1651" s="491">
        <v>2912.91</v>
      </c>
      <c r="G1651" s="486" t="s">
        <v>2794</v>
      </c>
      <c r="H1651" s="392" t="s">
        <v>737</v>
      </c>
      <c r="I1651" s="484" t="s">
        <v>2608</v>
      </c>
      <c r="J1651" s="487" t="s">
        <v>2609</v>
      </c>
      <c r="K1651" s="394" t="str">
        <f t="shared" si="86"/>
        <v>XXX191080001XX</v>
      </c>
      <c r="L1651" s="391"/>
      <c r="M1651" s="484" t="s">
        <v>707</v>
      </c>
      <c r="N1651" s="487">
        <v>649</v>
      </c>
      <c r="O1651" s="487" t="s">
        <v>2527</v>
      </c>
      <c r="P1651" s="398" t="s">
        <v>868</v>
      </c>
    </row>
    <row r="1652" spans="1:16" s="401" customFormat="1" ht="60">
      <c r="A1652" s="429">
        <f t="shared" si="87"/>
        <v>1649</v>
      </c>
      <c r="B1652" s="387">
        <v>46156</v>
      </c>
      <c r="C1652" s="388">
        <v>46113</v>
      </c>
      <c r="D1652" s="389" t="s">
        <v>248</v>
      </c>
      <c r="E1652" s="484" t="s">
        <v>608</v>
      </c>
      <c r="F1652" s="491">
        <v>210.52</v>
      </c>
      <c r="G1652" s="486" t="s">
        <v>2795</v>
      </c>
      <c r="H1652" s="389" t="s">
        <v>1029</v>
      </c>
      <c r="I1652" s="484" t="s">
        <v>645</v>
      </c>
      <c r="J1652" s="487" t="s">
        <v>646</v>
      </c>
      <c r="K1652" s="394" t="str">
        <f t="shared" si="86"/>
        <v>XXX460700001XX</v>
      </c>
      <c r="L1652" s="391"/>
      <c r="M1652" s="484" t="s">
        <v>708</v>
      </c>
      <c r="N1652" s="487">
        <v>2116</v>
      </c>
      <c r="O1652" s="487" t="s">
        <v>2529</v>
      </c>
      <c r="P1652" s="398" t="s">
        <v>574</v>
      </c>
    </row>
    <row r="1653" spans="1:16" s="401" customFormat="1" ht="60">
      <c r="A1653" s="429">
        <f t="shared" si="87"/>
        <v>1650</v>
      </c>
      <c r="B1653" s="387">
        <v>46156</v>
      </c>
      <c r="C1653" s="388">
        <v>46113</v>
      </c>
      <c r="D1653" s="389" t="s">
        <v>248</v>
      </c>
      <c r="E1653" s="484" t="s">
        <v>608</v>
      </c>
      <c r="F1653" s="491">
        <v>119.61</v>
      </c>
      <c r="G1653" s="486" t="s">
        <v>2795</v>
      </c>
      <c r="H1653" s="389" t="s">
        <v>1029</v>
      </c>
      <c r="I1653" s="484" t="s">
        <v>645</v>
      </c>
      <c r="J1653" s="487" t="s">
        <v>646</v>
      </c>
      <c r="K1653" s="394" t="str">
        <f t="shared" si="86"/>
        <v>XXX460700001XX</v>
      </c>
      <c r="L1653" s="391"/>
      <c r="M1653" s="484" t="s">
        <v>708</v>
      </c>
      <c r="N1653" s="487">
        <v>1242026</v>
      </c>
      <c r="O1653" s="487" t="s">
        <v>2533</v>
      </c>
      <c r="P1653" s="398" t="s">
        <v>574</v>
      </c>
    </row>
    <row r="1654" spans="1:16" s="401" customFormat="1" ht="60">
      <c r="A1654" s="429">
        <f t="shared" si="87"/>
        <v>1651</v>
      </c>
      <c r="B1654" s="387">
        <v>46156</v>
      </c>
      <c r="C1654" s="388">
        <v>46113</v>
      </c>
      <c r="D1654" s="389" t="s">
        <v>248</v>
      </c>
      <c r="E1654" s="484" t="s">
        <v>608</v>
      </c>
      <c r="F1654" s="491">
        <v>78.45</v>
      </c>
      <c r="G1654" s="486" t="s">
        <v>2795</v>
      </c>
      <c r="H1654" s="389" t="s">
        <v>1029</v>
      </c>
      <c r="I1654" s="484" t="s">
        <v>645</v>
      </c>
      <c r="J1654" s="487" t="s">
        <v>646</v>
      </c>
      <c r="K1654" s="394" t="str">
        <f t="shared" si="86"/>
        <v>XXX460700001XX</v>
      </c>
      <c r="L1654" s="391"/>
      <c r="M1654" s="484" t="s">
        <v>708</v>
      </c>
      <c r="N1654" s="487">
        <v>1252026</v>
      </c>
      <c r="O1654" s="487" t="s">
        <v>2529</v>
      </c>
      <c r="P1654" s="398" t="s">
        <v>574</v>
      </c>
    </row>
    <row r="1655" spans="1:16" s="401" customFormat="1" ht="36">
      <c r="A1655" s="429">
        <f t="shared" si="87"/>
        <v>1652</v>
      </c>
      <c r="B1655" s="387">
        <v>46156</v>
      </c>
      <c r="C1655" s="388">
        <v>46143</v>
      </c>
      <c r="D1655" s="389" t="s">
        <v>248</v>
      </c>
      <c r="E1655" s="484" t="s">
        <v>1550</v>
      </c>
      <c r="F1655" s="491">
        <v>883.22</v>
      </c>
      <c r="G1655" s="486" t="s">
        <v>2796</v>
      </c>
      <c r="H1655" s="389" t="s">
        <v>736</v>
      </c>
      <c r="I1655" s="484" t="s">
        <v>1137</v>
      </c>
      <c r="J1655" s="487" t="s">
        <v>1138</v>
      </c>
      <c r="K1655" s="394" t="str">
        <f t="shared" si="86"/>
        <v>XXX46478649 XX</v>
      </c>
      <c r="L1655" s="391"/>
      <c r="M1655" s="484" t="s">
        <v>708</v>
      </c>
      <c r="N1655" s="487">
        <v>75641</v>
      </c>
      <c r="O1655" s="487" t="s">
        <v>2529</v>
      </c>
      <c r="P1655" s="398" t="s">
        <v>574</v>
      </c>
    </row>
    <row r="1656" spans="1:16" s="401" customFormat="1" ht="36">
      <c r="A1656" s="429">
        <f t="shared" si="87"/>
        <v>1653</v>
      </c>
      <c r="B1656" s="387">
        <v>46156</v>
      </c>
      <c r="C1656" s="388">
        <v>46143</v>
      </c>
      <c r="D1656" s="389" t="s">
        <v>248</v>
      </c>
      <c r="E1656" s="484" t="s">
        <v>1215</v>
      </c>
      <c r="F1656" s="491">
        <v>902</v>
      </c>
      <c r="G1656" s="486" t="s">
        <v>1319</v>
      </c>
      <c r="H1656" s="389" t="s">
        <v>278</v>
      </c>
      <c r="I1656" s="484" t="s">
        <v>2610</v>
      </c>
      <c r="J1656" s="487" t="s">
        <v>2611</v>
      </c>
      <c r="K1656" s="394" t="str">
        <f t="shared" si="86"/>
        <v>XXX95372831 XX</v>
      </c>
      <c r="L1656" s="391"/>
      <c r="M1656" s="484" t="s">
        <v>708</v>
      </c>
      <c r="N1656" s="487">
        <v>75658</v>
      </c>
      <c r="O1656" s="487" t="s">
        <v>2530</v>
      </c>
      <c r="P1656" s="398" t="s">
        <v>574</v>
      </c>
    </row>
    <row r="1657" spans="1:16" s="401" customFormat="1" ht="36">
      <c r="A1657" s="429">
        <f t="shared" si="87"/>
        <v>1654</v>
      </c>
      <c r="B1657" s="387">
        <v>46156</v>
      </c>
      <c r="C1657" s="388">
        <v>46143</v>
      </c>
      <c r="D1657" s="389" t="s">
        <v>248</v>
      </c>
      <c r="E1657" s="484" t="s">
        <v>1215</v>
      </c>
      <c r="F1657" s="491">
        <v>902</v>
      </c>
      <c r="G1657" s="486" t="s">
        <v>1319</v>
      </c>
      <c r="H1657" s="389" t="s">
        <v>278</v>
      </c>
      <c r="I1657" s="484" t="s">
        <v>2612</v>
      </c>
      <c r="J1657" s="487" t="s">
        <v>2613</v>
      </c>
      <c r="K1657" s="394" t="str">
        <f t="shared" si="86"/>
        <v>XXX76867659 XX</v>
      </c>
      <c r="L1657" s="391"/>
      <c r="M1657" s="484" t="s">
        <v>708</v>
      </c>
      <c r="N1657" s="487">
        <v>75578</v>
      </c>
      <c r="O1657" s="487" t="s">
        <v>2527</v>
      </c>
      <c r="P1657" s="398" t="s">
        <v>574</v>
      </c>
    </row>
    <row r="1658" spans="1:16" s="401" customFormat="1" ht="36">
      <c r="A1658" s="429">
        <f t="shared" si="87"/>
        <v>1655</v>
      </c>
      <c r="B1658" s="387">
        <v>46156</v>
      </c>
      <c r="C1658" s="388">
        <v>46143</v>
      </c>
      <c r="D1658" s="389" t="s">
        <v>248</v>
      </c>
      <c r="E1658" s="484" t="s">
        <v>1215</v>
      </c>
      <c r="F1658" s="491">
        <v>902</v>
      </c>
      <c r="G1658" s="486" t="s">
        <v>1319</v>
      </c>
      <c r="H1658" s="389" t="s">
        <v>278</v>
      </c>
      <c r="I1658" s="484" t="s">
        <v>2614</v>
      </c>
      <c r="J1658" s="487" t="s">
        <v>2615</v>
      </c>
      <c r="K1658" s="394" t="str">
        <f t="shared" si="86"/>
        <v>XXX46152609 XX</v>
      </c>
      <c r="L1658" s="391"/>
      <c r="M1658" s="484" t="s">
        <v>708</v>
      </c>
      <c r="N1658" s="487">
        <v>75597</v>
      </c>
      <c r="O1658" s="487" t="s">
        <v>2527</v>
      </c>
      <c r="P1658" s="398" t="s">
        <v>574</v>
      </c>
    </row>
    <row r="1659" spans="1:16" s="401" customFormat="1" ht="36">
      <c r="A1659" s="429">
        <f t="shared" si="87"/>
        <v>1656</v>
      </c>
      <c r="B1659" s="387">
        <v>46156</v>
      </c>
      <c r="C1659" s="388">
        <v>46143</v>
      </c>
      <c r="D1659" s="389" t="s">
        <v>248</v>
      </c>
      <c r="E1659" s="484" t="s">
        <v>1215</v>
      </c>
      <c r="F1659" s="491">
        <v>902</v>
      </c>
      <c r="G1659" s="486" t="s">
        <v>1319</v>
      </c>
      <c r="H1659" s="389" t="s">
        <v>278</v>
      </c>
      <c r="I1659" s="484" t="s">
        <v>2616</v>
      </c>
      <c r="J1659" s="487" t="s">
        <v>2617</v>
      </c>
      <c r="K1659" s="394" t="str">
        <f t="shared" si="86"/>
        <v>XXX37866645 XX</v>
      </c>
      <c r="L1659" s="391"/>
      <c r="M1659" s="484" t="s">
        <v>708</v>
      </c>
      <c r="N1659" s="487">
        <v>75598</v>
      </c>
      <c r="O1659" s="487" t="s">
        <v>2527</v>
      </c>
      <c r="P1659" s="398" t="s">
        <v>574</v>
      </c>
    </row>
    <row r="1660" spans="1:16" s="401" customFormat="1" ht="60">
      <c r="A1660" s="429">
        <f t="shared" si="87"/>
        <v>1657</v>
      </c>
      <c r="B1660" s="387">
        <v>46156</v>
      </c>
      <c r="C1660" s="388">
        <v>46143</v>
      </c>
      <c r="D1660" s="389" t="s">
        <v>248</v>
      </c>
      <c r="E1660" s="484" t="s">
        <v>2675</v>
      </c>
      <c r="F1660" s="491">
        <v>51.3</v>
      </c>
      <c r="G1660" s="486" t="s">
        <v>2797</v>
      </c>
      <c r="H1660" s="389" t="s">
        <v>736</v>
      </c>
      <c r="I1660" s="484" t="s">
        <v>2575</v>
      </c>
      <c r="J1660" s="487" t="s">
        <v>2576</v>
      </c>
      <c r="K1660" s="394" t="str">
        <f t="shared" si="86"/>
        <v>XXX32115669 XX</v>
      </c>
      <c r="L1660" s="391"/>
      <c r="M1660" s="484" t="s">
        <v>708</v>
      </c>
      <c r="N1660" s="487">
        <v>75664</v>
      </c>
      <c r="O1660" s="487" t="s">
        <v>2530</v>
      </c>
      <c r="P1660" s="398" t="s">
        <v>574</v>
      </c>
    </row>
    <row r="1661" spans="1:16" s="401" customFormat="1" ht="36">
      <c r="A1661" s="429">
        <f t="shared" si="87"/>
        <v>1658</v>
      </c>
      <c r="B1661" s="387">
        <v>46156</v>
      </c>
      <c r="C1661" s="388">
        <v>46113</v>
      </c>
      <c r="D1661" s="389" t="s">
        <v>353</v>
      </c>
      <c r="E1661" s="39" t="s">
        <v>153</v>
      </c>
      <c r="F1661" s="491">
        <v>-50.92</v>
      </c>
      <c r="G1661" s="486" t="s">
        <v>2798</v>
      </c>
      <c r="H1661" s="389" t="s">
        <v>280</v>
      </c>
      <c r="I1661" s="394" t="s">
        <v>744</v>
      </c>
      <c r="J1661" s="455">
        <v>7837375000150</v>
      </c>
      <c r="K1661" s="390" t="str">
        <f t="shared" si="86"/>
        <v>XXX737500015XX</v>
      </c>
      <c r="L1661" s="403"/>
      <c r="M1661" s="484" t="s">
        <v>726</v>
      </c>
      <c r="N1661" s="487">
        <v>2042026</v>
      </c>
      <c r="O1661" s="487" t="s">
        <v>2090</v>
      </c>
      <c r="P1661" s="398" t="s">
        <v>574</v>
      </c>
    </row>
    <row r="1662" spans="1:16" s="401" customFormat="1" ht="36">
      <c r="A1662" s="429">
        <f t="shared" si="87"/>
        <v>1659</v>
      </c>
      <c r="B1662" s="387">
        <v>46156</v>
      </c>
      <c r="C1662" s="388">
        <v>46082</v>
      </c>
      <c r="D1662" s="389" t="s">
        <v>248</v>
      </c>
      <c r="E1662" s="490" t="s">
        <v>142</v>
      </c>
      <c r="F1662" s="491">
        <v>136184.4</v>
      </c>
      <c r="G1662" s="486" t="s">
        <v>2799</v>
      </c>
      <c r="H1662" s="389" t="s">
        <v>738</v>
      </c>
      <c r="I1662" s="484" t="s">
        <v>653</v>
      </c>
      <c r="J1662" s="487" t="s">
        <v>654</v>
      </c>
      <c r="K1662" s="394" t="str">
        <f t="shared" si="86"/>
        <v>XXX682190001XX</v>
      </c>
      <c r="L1662" s="391"/>
      <c r="M1662" s="484" t="s">
        <v>708</v>
      </c>
      <c r="N1662" s="487">
        <v>75869</v>
      </c>
      <c r="O1662" s="487" t="s">
        <v>1543</v>
      </c>
      <c r="P1662" s="398" t="s">
        <v>574</v>
      </c>
    </row>
    <row r="1663" spans="1:16" s="401" customFormat="1" ht="36">
      <c r="A1663" s="429">
        <f t="shared" si="87"/>
        <v>1660</v>
      </c>
      <c r="B1663" s="387">
        <v>46156</v>
      </c>
      <c r="C1663" s="388">
        <v>46082</v>
      </c>
      <c r="D1663" s="389" t="s">
        <v>248</v>
      </c>
      <c r="E1663" s="490" t="s">
        <v>142</v>
      </c>
      <c r="F1663" s="491">
        <v>578.92999999999995</v>
      </c>
      <c r="G1663" s="486" t="s">
        <v>2800</v>
      </c>
      <c r="H1663" s="389" t="s">
        <v>738</v>
      </c>
      <c r="I1663" s="484" t="s">
        <v>653</v>
      </c>
      <c r="J1663" s="487" t="s">
        <v>654</v>
      </c>
      <c r="K1663" s="394" t="str">
        <f t="shared" si="86"/>
        <v>XXX682190001XX</v>
      </c>
      <c r="L1663" s="391"/>
      <c r="M1663" s="484" t="s">
        <v>913</v>
      </c>
      <c r="N1663" s="487">
        <v>75869</v>
      </c>
      <c r="O1663" s="487" t="s">
        <v>1543</v>
      </c>
      <c r="P1663" s="398" t="s">
        <v>574</v>
      </c>
    </row>
    <row r="1664" spans="1:16" s="401" customFormat="1" ht="36">
      <c r="A1664" s="429">
        <f t="shared" si="87"/>
        <v>1661</v>
      </c>
      <c r="B1664" s="387">
        <v>46156</v>
      </c>
      <c r="C1664" s="388">
        <v>46082</v>
      </c>
      <c r="D1664" s="389" t="s">
        <v>248</v>
      </c>
      <c r="E1664" s="490" t="s">
        <v>142</v>
      </c>
      <c r="F1664" s="491">
        <v>52797.81</v>
      </c>
      <c r="G1664" s="486" t="s">
        <v>2800</v>
      </c>
      <c r="H1664" s="389" t="s">
        <v>738</v>
      </c>
      <c r="I1664" s="484" t="s">
        <v>653</v>
      </c>
      <c r="J1664" s="487" t="s">
        <v>654</v>
      </c>
      <c r="K1664" s="394" t="str">
        <f t="shared" si="86"/>
        <v>XXX682190001XX</v>
      </c>
      <c r="L1664" s="391"/>
      <c r="M1664" s="484" t="s">
        <v>913</v>
      </c>
      <c r="N1664" s="487">
        <v>75869</v>
      </c>
      <c r="O1664" s="487" t="s">
        <v>1543</v>
      </c>
      <c r="P1664" s="398" t="s">
        <v>574</v>
      </c>
    </row>
    <row r="1665" spans="1:16" s="401" customFormat="1" ht="36">
      <c r="A1665" s="429">
        <f t="shared" si="87"/>
        <v>1662</v>
      </c>
      <c r="B1665" s="387">
        <v>46156</v>
      </c>
      <c r="C1665" s="388">
        <v>46082</v>
      </c>
      <c r="D1665" s="389" t="s">
        <v>248</v>
      </c>
      <c r="E1665" s="490" t="s">
        <v>142</v>
      </c>
      <c r="F1665" s="491">
        <v>1693.98</v>
      </c>
      <c r="G1665" s="486" t="s">
        <v>2801</v>
      </c>
      <c r="H1665" s="389" t="s">
        <v>738</v>
      </c>
      <c r="I1665" s="484" t="s">
        <v>653</v>
      </c>
      <c r="J1665" s="487" t="s">
        <v>654</v>
      </c>
      <c r="K1665" s="394" t="str">
        <f t="shared" si="86"/>
        <v>XXX682190001XX</v>
      </c>
      <c r="L1665" s="391"/>
      <c r="M1665" s="484" t="s">
        <v>913</v>
      </c>
      <c r="N1665" s="487">
        <v>75869</v>
      </c>
      <c r="O1665" s="487" t="s">
        <v>1543</v>
      </c>
      <c r="P1665" s="398" t="s">
        <v>574</v>
      </c>
    </row>
    <row r="1666" spans="1:16" s="401" customFormat="1" ht="36">
      <c r="A1666" s="429">
        <f t="shared" si="87"/>
        <v>1663</v>
      </c>
      <c r="B1666" s="387">
        <v>46156</v>
      </c>
      <c r="C1666" s="388">
        <v>46082</v>
      </c>
      <c r="D1666" s="389" t="s">
        <v>248</v>
      </c>
      <c r="E1666" s="490" t="s">
        <v>142</v>
      </c>
      <c r="F1666" s="491">
        <v>47487.37</v>
      </c>
      <c r="G1666" s="486" t="s">
        <v>2802</v>
      </c>
      <c r="H1666" s="389" t="s">
        <v>738</v>
      </c>
      <c r="I1666" s="484" t="s">
        <v>653</v>
      </c>
      <c r="J1666" s="487" t="s">
        <v>654</v>
      </c>
      <c r="K1666" s="394" t="str">
        <f t="shared" si="86"/>
        <v>XXX682190001XX</v>
      </c>
      <c r="L1666" s="391"/>
      <c r="M1666" s="484" t="s">
        <v>913</v>
      </c>
      <c r="N1666" s="487">
        <v>75869</v>
      </c>
      <c r="O1666" s="487" t="s">
        <v>1543</v>
      </c>
      <c r="P1666" s="398" t="s">
        <v>574</v>
      </c>
    </row>
    <row r="1667" spans="1:16" s="401" customFormat="1" ht="36">
      <c r="A1667" s="429">
        <f t="shared" si="87"/>
        <v>1664</v>
      </c>
      <c r="B1667" s="387">
        <v>46156</v>
      </c>
      <c r="C1667" s="388">
        <v>46082</v>
      </c>
      <c r="D1667" s="389" t="s">
        <v>248</v>
      </c>
      <c r="E1667" s="490" t="s">
        <v>142</v>
      </c>
      <c r="F1667" s="491">
        <v>2856.36</v>
      </c>
      <c r="G1667" s="486" t="s">
        <v>2803</v>
      </c>
      <c r="H1667" s="389" t="s">
        <v>738</v>
      </c>
      <c r="I1667" s="484" t="s">
        <v>653</v>
      </c>
      <c r="J1667" s="487" t="s">
        <v>654</v>
      </c>
      <c r="K1667" s="394" t="str">
        <f t="shared" si="86"/>
        <v>XXX682190001XX</v>
      </c>
      <c r="L1667" s="391"/>
      <c r="M1667" s="484" t="s">
        <v>913</v>
      </c>
      <c r="N1667" s="487">
        <v>75869</v>
      </c>
      <c r="O1667" s="487" t="s">
        <v>1543</v>
      </c>
      <c r="P1667" s="398" t="s">
        <v>574</v>
      </c>
    </row>
    <row r="1668" spans="1:16" s="401" customFormat="1" ht="36">
      <c r="A1668" s="429">
        <f t="shared" si="87"/>
        <v>1665</v>
      </c>
      <c r="B1668" s="387">
        <v>46156</v>
      </c>
      <c r="C1668" s="388">
        <v>46082</v>
      </c>
      <c r="D1668" s="389" t="s">
        <v>248</v>
      </c>
      <c r="E1668" s="490" t="s">
        <v>142</v>
      </c>
      <c r="F1668" s="491">
        <v>1792.58</v>
      </c>
      <c r="G1668" s="486" t="s">
        <v>2803</v>
      </c>
      <c r="H1668" s="389" t="s">
        <v>738</v>
      </c>
      <c r="I1668" s="484" t="s">
        <v>653</v>
      </c>
      <c r="J1668" s="487" t="s">
        <v>654</v>
      </c>
      <c r="K1668" s="394" t="str">
        <f t="shared" si="86"/>
        <v>XXX682190001XX</v>
      </c>
      <c r="L1668" s="391"/>
      <c r="M1668" s="484" t="s">
        <v>913</v>
      </c>
      <c r="N1668" s="487">
        <v>75869</v>
      </c>
      <c r="O1668" s="487" t="s">
        <v>1543</v>
      </c>
      <c r="P1668" s="398" t="s">
        <v>574</v>
      </c>
    </row>
    <row r="1669" spans="1:16" s="401" customFormat="1" ht="36">
      <c r="A1669" s="429">
        <f t="shared" si="87"/>
        <v>1666</v>
      </c>
      <c r="B1669" s="387">
        <v>46156</v>
      </c>
      <c r="C1669" s="388">
        <v>46113</v>
      </c>
      <c r="D1669" s="389" t="s">
        <v>353</v>
      </c>
      <c r="E1669" s="39" t="s">
        <v>153</v>
      </c>
      <c r="F1669" s="491">
        <v>-354.5</v>
      </c>
      <c r="G1669" s="486" t="s">
        <v>2804</v>
      </c>
      <c r="H1669" s="389" t="s">
        <v>280</v>
      </c>
      <c r="I1669" s="394" t="s">
        <v>744</v>
      </c>
      <c r="J1669" s="455">
        <v>7837375000150</v>
      </c>
      <c r="K1669" s="394" t="str">
        <f t="shared" si="86"/>
        <v>XXX737500015XX</v>
      </c>
      <c r="L1669" s="391"/>
      <c r="M1669" s="484" t="s">
        <v>726</v>
      </c>
      <c r="N1669" s="487">
        <v>16042026</v>
      </c>
      <c r="O1669" s="487" t="s">
        <v>2099</v>
      </c>
      <c r="P1669" s="398" t="s">
        <v>574</v>
      </c>
    </row>
    <row r="1670" spans="1:16" s="401" customFormat="1" ht="48">
      <c r="A1670" s="429">
        <f t="shared" si="87"/>
        <v>1667</v>
      </c>
      <c r="B1670" s="387">
        <v>46156</v>
      </c>
      <c r="C1670" s="388">
        <v>46113</v>
      </c>
      <c r="D1670" s="389" t="s">
        <v>248</v>
      </c>
      <c r="E1670" s="484" t="s">
        <v>605</v>
      </c>
      <c r="F1670" s="491">
        <v>15821.12</v>
      </c>
      <c r="G1670" s="486" t="s">
        <v>2805</v>
      </c>
      <c r="H1670" s="389" t="s">
        <v>278</v>
      </c>
      <c r="I1670" s="484" t="s">
        <v>637</v>
      </c>
      <c r="J1670" s="487" t="s">
        <v>638</v>
      </c>
      <c r="K1670" s="394" t="str">
        <f t="shared" ref="K1670:K1730" si="88">IF(J1670="","",IF(LEN(J1670)&gt;14,IF(ISBLANK(J1670),"",J1670),REPLACE(REPLACE(J1670,1,3,"XXX"),13,2,"XX")))</f>
        <v>XXX128340001XX</v>
      </c>
      <c r="L1670" s="391"/>
      <c r="M1670" s="484" t="s">
        <v>720</v>
      </c>
      <c r="N1670" s="487">
        <v>74980426</v>
      </c>
      <c r="O1670" s="487" t="s">
        <v>2089</v>
      </c>
      <c r="P1670" s="398" t="s">
        <v>574</v>
      </c>
    </row>
    <row r="1671" spans="1:16" s="401" customFormat="1" ht="36">
      <c r="A1671" s="429">
        <f t="shared" si="87"/>
        <v>1668</v>
      </c>
      <c r="B1671" s="387">
        <v>46156</v>
      </c>
      <c r="C1671" s="388">
        <v>46143</v>
      </c>
      <c r="D1671" s="389" t="s">
        <v>353</v>
      </c>
      <c r="E1671" s="39" t="s">
        <v>153</v>
      </c>
      <c r="F1671" s="491">
        <v>15650.06</v>
      </c>
      <c r="G1671" s="486" t="s">
        <v>821</v>
      </c>
      <c r="H1671" s="389" t="s">
        <v>280</v>
      </c>
      <c r="I1671" s="394" t="s">
        <v>744</v>
      </c>
      <c r="J1671" s="455">
        <v>7837375000150</v>
      </c>
      <c r="K1671" s="394" t="str">
        <f t="shared" si="88"/>
        <v>XXX737500015XX</v>
      </c>
      <c r="L1671" s="391"/>
      <c r="M1671" s="484" t="s">
        <v>706</v>
      </c>
      <c r="N1671" s="487">
        <v>2057887453</v>
      </c>
      <c r="O1671" s="487" t="s">
        <v>2534</v>
      </c>
      <c r="P1671" s="398" t="s">
        <v>574</v>
      </c>
    </row>
    <row r="1672" spans="1:16" s="401" customFormat="1" ht="120">
      <c r="A1672" s="429">
        <f t="shared" si="87"/>
        <v>1669</v>
      </c>
      <c r="B1672" s="387">
        <v>46156</v>
      </c>
      <c r="C1672" s="388">
        <v>46143</v>
      </c>
      <c r="D1672" s="389" t="s">
        <v>248</v>
      </c>
      <c r="E1672" s="484" t="s">
        <v>605</v>
      </c>
      <c r="F1672" s="491">
        <v>10673.78</v>
      </c>
      <c r="G1672" s="486" t="s">
        <v>2806</v>
      </c>
      <c r="H1672" s="389" t="s">
        <v>278</v>
      </c>
      <c r="I1672" s="484" t="s">
        <v>2618</v>
      </c>
      <c r="J1672" s="487" t="s">
        <v>2619</v>
      </c>
      <c r="K1672" s="394" t="str">
        <f t="shared" si="88"/>
        <v>XXX116620001XX</v>
      </c>
      <c r="L1672" s="391"/>
      <c r="M1672" s="484" t="s">
        <v>708</v>
      </c>
      <c r="N1672" s="487">
        <v>399</v>
      </c>
      <c r="O1672" s="487" t="s">
        <v>2534</v>
      </c>
      <c r="P1672" s="398" t="s">
        <v>574</v>
      </c>
    </row>
    <row r="1673" spans="1:16" s="401" customFormat="1" ht="36">
      <c r="A1673" s="429">
        <f t="shared" si="87"/>
        <v>1670</v>
      </c>
      <c r="B1673" s="387">
        <v>46156</v>
      </c>
      <c r="C1673" s="388">
        <v>46143</v>
      </c>
      <c r="D1673" s="389" t="s">
        <v>353</v>
      </c>
      <c r="E1673" s="39" t="s">
        <v>153</v>
      </c>
      <c r="F1673" s="491">
        <v>13740.59</v>
      </c>
      <c r="G1673" s="486" t="s">
        <v>2807</v>
      </c>
      <c r="H1673" s="389" t="s">
        <v>280</v>
      </c>
      <c r="I1673" s="394" t="s">
        <v>744</v>
      </c>
      <c r="J1673" s="455">
        <v>7837375000150</v>
      </c>
      <c r="K1673" s="394" t="str">
        <f t="shared" si="88"/>
        <v>XXX737500015XX</v>
      </c>
      <c r="L1673" s="391"/>
      <c r="M1673" s="484" t="s">
        <v>726</v>
      </c>
      <c r="N1673" s="487">
        <v>7052026</v>
      </c>
      <c r="O1673" s="487" t="s">
        <v>2529</v>
      </c>
      <c r="P1673" s="398" t="s">
        <v>574</v>
      </c>
    </row>
    <row r="1674" spans="1:16" s="401" customFormat="1" ht="36">
      <c r="A1674" s="429">
        <f t="shared" si="87"/>
        <v>1671</v>
      </c>
      <c r="B1674" s="387">
        <v>46156</v>
      </c>
      <c r="C1674" s="388">
        <v>46143</v>
      </c>
      <c r="D1674" s="389" t="s">
        <v>353</v>
      </c>
      <c r="E1674" s="39" t="s">
        <v>153</v>
      </c>
      <c r="F1674" s="491">
        <v>30903.67</v>
      </c>
      <c r="G1674" s="486" t="s">
        <v>2808</v>
      </c>
      <c r="H1674" s="389" t="s">
        <v>280</v>
      </c>
      <c r="I1674" s="394" t="s">
        <v>744</v>
      </c>
      <c r="J1674" s="455">
        <v>7837375000150</v>
      </c>
      <c r="K1674" s="394" t="str">
        <f t="shared" si="88"/>
        <v>XXX737500015XX</v>
      </c>
      <c r="L1674" s="391"/>
      <c r="M1674" s="484" t="s">
        <v>726</v>
      </c>
      <c r="N1674" s="487">
        <v>8052026</v>
      </c>
      <c r="O1674" s="487" t="s">
        <v>2530</v>
      </c>
      <c r="P1674" s="398" t="s">
        <v>574</v>
      </c>
    </row>
    <row r="1675" spans="1:16" s="401" customFormat="1" ht="36">
      <c r="A1675" s="429">
        <f t="shared" si="87"/>
        <v>1672</v>
      </c>
      <c r="B1675" s="387">
        <v>46156</v>
      </c>
      <c r="C1675" s="388">
        <v>46143</v>
      </c>
      <c r="D1675" s="392" t="s">
        <v>132</v>
      </c>
      <c r="E1675" s="38" t="s">
        <v>212</v>
      </c>
      <c r="F1675" s="491">
        <v>3635.91</v>
      </c>
      <c r="G1675" s="486" t="s">
        <v>2809</v>
      </c>
      <c r="H1675" s="389" t="s">
        <v>278</v>
      </c>
      <c r="I1675" s="484" t="s">
        <v>2620</v>
      </c>
      <c r="J1675" s="487" t="s">
        <v>2621</v>
      </c>
      <c r="K1675" s="394" t="str">
        <f t="shared" si="88"/>
        <v>XXX707140001XX</v>
      </c>
      <c r="L1675" s="391"/>
      <c r="M1675" s="484" t="s">
        <v>704</v>
      </c>
      <c r="N1675" s="487">
        <v>27911930</v>
      </c>
      <c r="O1675" s="487" t="s">
        <v>2535</v>
      </c>
      <c r="P1675" s="398" t="s">
        <v>574</v>
      </c>
    </row>
    <row r="1676" spans="1:16" s="401" customFormat="1" ht="36">
      <c r="A1676" s="429">
        <f t="shared" si="87"/>
        <v>1673</v>
      </c>
      <c r="B1676" s="387">
        <v>46156</v>
      </c>
      <c r="C1676" s="388">
        <v>46143</v>
      </c>
      <c r="D1676" s="389" t="s">
        <v>248</v>
      </c>
      <c r="E1676" s="484" t="s">
        <v>1552</v>
      </c>
      <c r="F1676" s="491">
        <v>500</v>
      </c>
      <c r="G1676" s="486" t="s">
        <v>2810</v>
      </c>
      <c r="H1676" s="389" t="s">
        <v>736</v>
      </c>
      <c r="I1676" s="484" t="s">
        <v>2604</v>
      </c>
      <c r="J1676" s="487" t="s">
        <v>2605</v>
      </c>
      <c r="K1676" s="394" t="str">
        <f t="shared" si="88"/>
        <v>XXX148620001XX</v>
      </c>
      <c r="L1676" s="391"/>
      <c r="M1676" s="484" t="s">
        <v>707</v>
      </c>
      <c r="N1676" s="487">
        <v>719</v>
      </c>
      <c r="O1676" s="487" t="s">
        <v>2531</v>
      </c>
      <c r="P1676" s="398" t="s">
        <v>868</v>
      </c>
    </row>
    <row r="1677" spans="1:16" s="401" customFormat="1" ht="36">
      <c r="A1677" s="429">
        <f t="shared" si="87"/>
        <v>1674</v>
      </c>
      <c r="B1677" s="387">
        <v>46156</v>
      </c>
      <c r="C1677" s="388">
        <v>46143</v>
      </c>
      <c r="D1677" s="389" t="s">
        <v>248</v>
      </c>
      <c r="E1677" s="484" t="s">
        <v>597</v>
      </c>
      <c r="F1677" s="491">
        <v>148.5</v>
      </c>
      <c r="G1677" s="486" t="s">
        <v>2811</v>
      </c>
      <c r="H1677" s="389" t="s">
        <v>278</v>
      </c>
      <c r="I1677" s="484" t="s">
        <v>1472</v>
      </c>
      <c r="J1677" s="487" t="s">
        <v>1473</v>
      </c>
      <c r="K1677" s="394" t="str">
        <f t="shared" si="88"/>
        <v>XXX735210001XX</v>
      </c>
      <c r="L1677" s="391"/>
      <c r="M1677" s="484" t="s">
        <v>706</v>
      </c>
      <c r="N1677" s="487">
        <v>262894</v>
      </c>
      <c r="O1677" s="487" t="s">
        <v>2534</v>
      </c>
      <c r="P1677" s="398" t="s">
        <v>574</v>
      </c>
    </row>
    <row r="1678" spans="1:16" s="401" customFormat="1" ht="72">
      <c r="A1678" s="429">
        <f t="shared" si="87"/>
        <v>1675</v>
      </c>
      <c r="B1678" s="387">
        <v>46156</v>
      </c>
      <c r="C1678" s="388">
        <v>46143</v>
      </c>
      <c r="D1678" s="389" t="s">
        <v>248</v>
      </c>
      <c r="E1678" s="484" t="s">
        <v>597</v>
      </c>
      <c r="F1678" s="491">
        <v>174.9</v>
      </c>
      <c r="G1678" s="486" t="s">
        <v>2812</v>
      </c>
      <c r="H1678" s="392" t="s">
        <v>736</v>
      </c>
      <c r="I1678" s="484" t="s">
        <v>1472</v>
      </c>
      <c r="J1678" s="487" t="s">
        <v>1473</v>
      </c>
      <c r="K1678" s="394" t="str">
        <f t="shared" si="88"/>
        <v>XXX735210001XX</v>
      </c>
      <c r="L1678" s="391"/>
      <c r="M1678" s="484" t="s">
        <v>706</v>
      </c>
      <c r="N1678" s="487">
        <v>20979</v>
      </c>
      <c r="O1678" s="487" t="s">
        <v>2534</v>
      </c>
      <c r="P1678" s="398" t="s">
        <v>574</v>
      </c>
    </row>
    <row r="1679" spans="1:16" s="401" customFormat="1" ht="36">
      <c r="A1679" s="429">
        <f t="shared" si="87"/>
        <v>1676</v>
      </c>
      <c r="B1679" s="387">
        <v>46156</v>
      </c>
      <c r="C1679" s="388">
        <v>46143</v>
      </c>
      <c r="D1679" s="389" t="s">
        <v>248</v>
      </c>
      <c r="E1679" s="60" t="s">
        <v>0</v>
      </c>
      <c r="F1679" s="491">
        <v>440</v>
      </c>
      <c r="G1679" s="486" t="s">
        <v>2813</v>
      </c>
      <c r="H1679" s="389" t="s">
        <v>278</v>
      </c>
      <c r="I1679" s="484" t="s">
        <v>1421</v>
      </c>
      <c r="J1679" s="487" t="s">
        <v>2120</v>
      </c>
      <c r="K1679" s="394" t="str">
        <f t="shared" si="88"/>
        <v>XXX838110012XX</v>
      </c>
      <c r="L1679" s="391"/>
      <c r="M1679" s="484" t="s">
        <v>704</v>
      </c>
      <c r="N1679" s="487">
        <v>15755089</v>
      </c>
      <c r="O1679" s="487" t="s">
        <v>2532</v>
      </c>
      <c r="P1679" s="398" t="s">
        <v>574</v>
      </c>
    </row>
    <row r="1680" spans="1:16" s="401" customFormat="1" ht="60">
      <c r="A1680" s="429">
        <f t="shared" si="87"/>
        <v>1677</v>
      </c>
      <c r="B1680" s="387">
        <v>46156</v>
      </c>
      <c r="C1680" s="388">
        <v>46113</v>
      </c>
      <c r="D1680" s="389" t="s">
        <v>248</v>
      </c>
      <c r="E1680" s="484" t="s">
        <v>1213</v>
      </c>
      <c r="F1680" s="491">
        <v>4000</v>
      </c>
      <c r="G1680" s="486" t="s">
        <v>2814</v>
      </c>
      <c r="H1680" s="392" t="s">
        <v>1029</v>
      </c>
      <c r="I1680" s="484" t="s">
        <v>2622</v>
      </c>
      <c r="J1680" s="487" t="s">
        <v>2623</v>
      </c>
      <c r="K1680" s="394" t="str">
        <f t="shared" si="88"/>
        <v>XXX733890001XX</v>
      </c>
      <c r="L1680" s="391"/>
      <c r="M1680" s="484" t="s">
        <v>708</v>
      </c>
      <c r="N1680" s="487">
        <v>54</v>
      </c>
      <c r="O1680" s="487" t="s">
        <v>2527</v>
      </c>
      <c r="P1680" s="398" t="s">
        <v>574</v>
      </c>
    </row>
    <row r="1681" spans="1:16" s="401" customFormat="1" ht="72">
      <c r="A1681" s="429">
        <f t="shared" si="87"/>
        <v>1678</v>
      </c>
      <c r="B1681" s="387">
        <v>46156</v>
      </c>
      <c r="C1681" s="388">
        <v>46113</v>
      </c>
      <c r="D1681" s="389" t="s">
        <v>248</v>
      </c>
      <c r="E1681" s="484" t="s">
        <v>1550</v>
      </c>
      <c r="F1681" s="491">
        <v>2113.65</v>
      </c>
      <c r="G1681" s="486" t="s">
        <v>2815</v>
      </c>
      <c r="H1681" s="389" t="s">
        <v>736</v>
      </c>
      <c r="I1681" s="484" t="s">
        <v>686</v>
      </c>
      <c r="J1681" s="487" t="s">
        <v>687</v>
      </c>
      <c r="K1681" s="394" t="str">
        <f t="shared" si="88"/>
        <v>XXX900500001XX</v>
      </c>
      <c r="L1681" s="391"/>
      <c r="M1681" s="484" t="s">
        <v>719</v>
      </c>
      <c r="N1681" s="487">
        <v>5062</v>
      </c>
      <c r="O1681" s="487" t="s">
        <v>2527</v>
      </c>
      <c r="P1681" s="398" t="s">
        <v>868</v>
      </c>
    </row>
    <row r="1682" spans="1:16" s="401" customFormat="1" ht="72">
      <c r="A1682" s="429">
        <f t="shared" si="87"/>
        <v>1679</v>
      </c>
      <c r="B1682" s="387">
        <v>46156</v>
      </c>
      <c r="C1682" s="388">
        <v>46113</v>
      </c>
      <c r="D1682" s="389" t="s">
        <v>248</v>
      </c>
      <c r="E1682" s="484" t="s">
        <v>1550</v>
      </c>
      <c r="F1682" s="491">
        <v>2497.9499999999998</v>
      </c>
      <c r="G1682" s="486" t="s">
        <v>2815</v>
      </c>
      <c r="H1682" s="389" t="s">
        <v>736</v>
      </c>
      <c r="I1682" s="484" t="s">
        <v>686</v>
      </c>
      <c r="J1682" s="487" t="s">
        <v>687</v>
      </c>
      <c r="K1682" s="394" t="str">
        <f t="shared" si="88"/>
        <v>XXX900500001XX</v>
      </c>
      <c r="L1682" s="391"/>
      <c r="M1682" s="484" t="s">
        <v>719</v>
      </c>
      <c r="N1682" s="487">
        <v>5059</v>
      </c>
      <c r="O1682" s="487" t="s">
        <v>2527</v>
      </c>
      <c r="P1682" s="398" t="s">
        <v>868</v>
      </c>
    </row>
    <row r="1683" spans="1:16" s="401" customFormat="1" ht="36">
      <c r="A1683" s="429">
        <f t="shared" si="87"/>
        <v>1680</v>
      </c>
      <c r="B1683" s="387">
        <v>46156</v>
      </c>
      <c r="C1683" s="388">
        <v>46143</v>
      </c>
      <c r="D1683" s="389" t="s">
        <v>248</v>
      </c>
      <c r="E1683" s="484" t="s">
        <v>1551</v>
      </c>
      <c r="F1683" s="491">
        <v>1016</v>
      </c>
      <c r="G1683" s="486" t="s">
        <v>2816</v>
      </c>
      <c r="H1683" s="389" t="s">
        <v>737</v>
      </c>
      <c r="I1683" s="484" t="s">
        <v>1501</v>
      </c>
      <c r="J1683" s="487" t="s">
        <v>1502</v>
      </c>
      <c r="K1683" s="394" t="str">
        <f t="shared" si="88"/>
        <v>XXX487130001XX</v>
      </c>
      <c r="L1683" s="391"/>
      <c r="M1683" s="484" t="s">
        <v>708</v>
      </c>
      <c r="N1683" s="487">
        <v>46</v>
      </c>
      <c r="O1683" s="487" t="s">
        <v>2528</v>
      </c>
      <c r="P1683" s="398" t="s">
        <v>574</v>
      </c>
    </row>
    <row r="1684" spans="1:16" s="401" customFormat="1" ht="48">
      <c r="A1684" s="429">
        <f t="shared" si="87"/>
        <v>1681</v>
      </c>
      <c r="B1684" s="387">
        <v>46156</v>
      </c>
      <c r="C1684" s="388">
        <v>46143</v>
      </c>
      <c r="D1684" s="389" t="s">
        <v>248</v>
      </c>
      <c r="E1684" s="60" t="s">
        <v>78</v>
      </c>
      <c r="F1684" s="491">
        <v>5500</v>
      </c>
      <c r="G1684" s="486" t="s">
        <v>2392</v>
      </c>
      <c r="H1684" s="389" t="s">
        <v>737</v>
      </c>
      <c r="I1684" s="484" t="s">
        <v>2205</v>
      </c>
      <c r="J1684" s="487" t="s">
        <v>2206</v>
      </c>
      <c r="K1684" s="394" t="str">
        <f t="shared" si="88"/>
        <v>XXX48223609 XX</v>
      </c>
      <c r="L1684" s="391"/>
      <c r="M1684" s="484" t="s">
        <v>707</v>
      </c>
      <c r="N1684" s="487">
        <v>48</v>
      </c>
      <c r="O1684" s="487" t="s">
        <v>2530</v>
      </c>
      <c r="P1684" s="398" t="s">
        <v>868</v>
      </c>
    </row>
    <row r="1685" spans="1:16" s="401" customFormat="1" ht="36">
      <c r="A1685" s="429">
        <f t="shared" si="87"/>
        <v>1682</v>
      </c>
      <c r="B1685" s="387">
        <v>46156</v>
      </c>
      <c r="C1685" s="388">
        <v>46143</v>
      </c>
      <c r="D1685" s="389" t="s">
        <v>248</v>
      </c>
      <c r="E1685" s="484" t="s">
        <v>597</v>
      </c>
      <c r="F1685" s="491">
        <v>134.34</v>
      </c>
      <c r="G1685" s="486" t="s">
        <v>2817</v>
      </c>
      <c r="H1685" s="389" t="s">
        <v>278</v>
      </c>
      <c r="I1685" s="484" t="s">
        <v>1472</v>
      </c>
      <c r="J1685" s="487" t="s">
        <v>1473</v>
      </c>
      <c r="K1685" s="394" t="str">
        <f t="shared" si="88"/>
        <v>XXX735210001XX</v>
      </c>
      <c r="L1685" s="391"/>
      <c r="M1685" s="484" t="s">
        <v>706</v>
      </c>
      <c r="N1685" s="487">
        <v>113119</v>
      </c>
      <c r="O1685" s="487" t="s">
        <v>2534</v>
      </c>
      <c r="P1685" s="398" t="s">
        <v>574</v>
      </c>
    </row>
    <row r="1686" spans="1:16" s="401" customFormat="1" ht="60">
      <c r="A1686" s="429">
        <f t="shared" si="87"/>
        <v>1683</v>
      </c>
      <c r="B1686" s="387">
        <v>46156</v>
      </c>
      <c r="C1686" s="388">
        <v>46143</v>
      </c>
      <c r="D1686" s="389" t="s">
        <v>248</v>
      </c>
      <c r="E1686" s="484" t="s">
        <v>592</v>
      </c>
      <c r="F1686" s="491">
        <v>1518.77</v>
      </c>
      <c r="G1686" s="486" t="s">
        <v>2818</v>
      </c>
      <c r="H1686" s="392" t="s">
        <v>737</v>
      </c>
      <c r="I1686" s="484" t="s">
        <v>1463</v>
      </c>
      <c r="J1686" s="487" t="s">
        <v>1464</v>
      </c>
      <c r="K1686" s="394" t="str">
        <f t="shared" si="88"/>
        <v>XXX999310001XX</v>
      </c>
      <c r="L1686" s="391"/>
      <c r="M1686" s="484" t="s">
        <v>704</v>
      </c>
      <c r="N1686" s="487">
        <v>389</v>
      </c>
      <c r="O1686" s="487" t="s">
        <v>2527</v>
      </c>
      <c r="P1686" s="398" t="s">
        <v>574</v>
      </c>
    </row>
    <row r="1687" spans="1:16" s="401" customFormat="1" ht="36">
      <c r="A1687" s="429">
        <f t="shared" si="87"/>
        <v>1684</v>
      </c>
      <c r="B1687" s="387">
        <v>46156</v>
      </c>
      <c r="C1687" s="388">
        <v>46143</v>
      </c>
      <c r="D1687" s="389" t="s">
        <v>132</v>
      </c>
      <c r="E1687" s="38" t="s">
        <v>218</v>
      </c>
      <c r="F1687" s="491">
        <v>3372.8</v>
      </c>
      <c r="G1687" s="486" t="s">
        <v>2819</v>
      </c>
      <c r="H1687" s="389" t="s">
        <v>278</v>
      </c>
      <c r="I1687" s="484" t="s">
        <v>795</v>
      </c>
      <c r="J1687" s="487" t="s">
        <v>796</v>
      </c>
      <c r="K1687" s="394" t="str">
        <f t="shared" si="88"/>
        <v>XXX499450001XX</v>
      </c>
      <c r="L1687" s="391"/>
      <c r="M1687" s="484" t="s">
        <v>708</v>
      </c>
      <c r="N1687" s="487">
        <v>2870</v>
      </c>
      <c r="O1687" s="487" t="s">
        <v>2537</v>
      </c>
      <c r="P1687" s="398" t="s">
        <v>574</v>
      </c>
    </row>
    <row r="1688" spans="1:16" s="401" customFormat="1" ht="24">
      <c r="A1688" s="429">
        <f t="shared" si="87"/>
        <v>1685</v>
      </c>
      <c r="B1688" s="387">
        <v>46156</v>
      </c>
      <c r="C1688" s="388">
        <v>46113</v>
      </c>
      <c r="D1688" s="389" t="s">
        <v>166</v>
      </c>
      <c r="E1688" s="484" t="s">
        <v>583</v>
      </c>
      <c r="F1688" s="491">
        <v>776.62</v>
      </c>
      <c r="G1688" s="486" t="s">
        <v>2820</v>
      </c>
      <c r="H1688" s="389" t="s">
        <v>166</v>
      </c>
      <c r="I1688" s="484" t="s">
        <v>2624</v>
      </c>
      <c r="J1688" s="487" t="s">
        <v>2625</v>
      </c>
      <c r="K1688" s="394" t="str">
        <f t="shared" si="88"/>
        <v>XXX31622695 XX</v>
      </c>
      <c r="L1688" s="391"/>
      <c r="M1688" s="484" t="s">
        <v>705</v>
      </c>
      <c r="N1688" s="487">
        <v>733</v>
      </c>
      <c r="O1688" s="487" t="s">
        <v>2089</v>
      </c>
      <c r="P1688" s="398" t="s">
        <v>573</v>
      </c>
    </row>
    <row r="1689" spans="1:16" s="401" customFormat="1" ht="24">
      <c r="A1689" s="429">
        <f t="shared" si="87"/>
        <v>1686</v>
      </c>
      <c r="B1689" s="387">
        <v>46156</v>
      </c>
      <c r="C1689" s="388">
        <v>46113</v>
      </c>
      <c r="D1689" s="389" t="s">
        <v>166</v>
      </c>
      <c r="E1689" s="484" t="s">
        <v>583</v>
      </c>
      <c r="F1689" s="491">
        <v>4918.26</v>
      </c>
      <c r="G1689" s="486" t="s">
        <v>2821</v>
      </c>
      <c r="H1689" s="389" t="s">
        <v>166</v>
      </c>
      <c r="I1689" s="484" t="s">
        <v>1052</v>
      </c>
      <c r="J1689" s="487" t="s">
        <v>1053</v>
      </c>
      <c r="K1689" s="394" t="str">
        <f t="shared" si="88"/>
        <v>XXX29033610 XX</v>
      </c>
      <c r="L1689" s="391"/>
      <c r="M1689" s="484" t="s">
        <v>705</v>
      </c>
      <c r="N1689" s="487">
        <v>733</v>
      </c>
      <c r="O1689" s="487" t="s">
        <v>2089</v>
      </c>
      <c r="P1689" s="398" t="s">
        <v>573</v>
      </c>
    </row>
    <row r="1690" spans="1:16" s="401" customFormat="1" ht="36">
      <c r="A1690" s="429">
        <f t="shared" si="87"/>
        <v>1687</v>
      </c>
      <c r="B1690" s="387">
        <v>46156</v>
      </c>
      <c r="C1690" s="388">
        <v>46143</v>
      </c>
      <c r="D1690" s="389" t="s">
        <v>248</v>
      </c>
      <c r="E1690" s="484" t="s">
        <v>595</v>
      </c>
      <c r="F1690" s="491">
        <v>251.75</v>
      </c>
      <c r="G1690" s="486" t="s">
        <v>2822</v>
      </c>
      <c r="H1690" s="389" t="s">
        <v>278</v>
      </c>
      <c r="I1690" s="484" t="s">
        <v>2626</v>
      </c>
      <c r="J1690" s="487" t="s">
        <v>2627</v>
      </c>
      <c r="K1690" s="394" t="str">
        <f t="shared" si="88"/>
        <v>XXX961480001XX</v>
      </c>
      <c r="L1690" s="391"/>
      <c r="M1690" s="484" t="s">
        <v>708</v>
      </c>
      <c r="N1690" s="487">
        <v>1021</v>
      </c>
      <c r="O1690" s="487" t="s">
        <v>2527</v>
      </c>
      <c r="P1690" s="398" t="s">
        <v>574</v>
      </c>
    </row>
    <row r="1691" spans="1:16" s="401" customFormat="1" ht="72">
      <c r="A1691" s="429">
        <f t="shared" ref="A1691:A1750" si="89">IF(B1691="","",ROW()-ROW($A$3))</f>
        <v>1688</v>
      </c>
      <c r="B1691" s="387">
        <v>46156</v>
      </c>
      <c r="C1691" s="388">
        <v>46143</v>
      </c>
      <c r="D1691" s="389" t="s">
        <v>248</v>
      </c>
      <c r="E1691" s="484" t="s">
        <v>757</v>
      </c>
      <c r="F1691" s="491">
        <v>1254.5</v>
      </c>
      <c r="G1691" s="486" t="s">
        <v>2823</v>
      </c>
      <c r="H1691" s="389" t="s">
        <v>736</v>
      </c>
      <c r="I1691" s="484" t="s">
        <v>2628</v>
      </c>
      <c r="J1691" s="487" t="s">
        <v>2629</v>
      </c>
      <c r="K1691" s="394" t="str">
        <f t="shared" si="88"/>
        <v>XXX521960001XX</v>
      </c>
      <c r="L1691" s="391"/>
      <c r="M1691" s="484" t="s">
        <v>704</v>
      </c>
      <c r="N1691" s="487">
        <v>2625</v>
      </c>
      <c r="O1691" s="487" t="s">
        <v>2530</v>
      </c>
      <c r="P1691" s="398" t="s">
        <v>868</v>
      </c>
    </row>
    <row r="1692" spans="1:16" s="401" customFormat="1" ht="72">
      <c r="A1692" s="429">
        <f t="shared" si="89"/>
        <v>1689</v>
      </c>
      <c r="B1692" s="387">
        <v>46156</v>
      </c>
      <c r="C1692" s="388">
        <v>46143</v>
      </c>
      <c r="D1692" s="389" t="s">
        <v>248</v>
      </c>
      <c r="E1692" s="484" t="s">
        <v>757</v>
      </c>
      <c r="F1692" s="491">
        <v>1254.5</v>
      </c>
      <c r="G1692" s="486" t="s">
        <v>2823</v>
      </c>
      <c r="H1692" s="389" t="s">
        <v>736</v>
      </c>
      <c r="I1692" s="484" t="s">
        <v>2628</v>
      </c>
      <c r="J1692" s="487" t="s">
        <v>2629</v>
      </c>
      <c r="K1692" s="394" t="str">
        <f t="shared" si="88"/>
        <v>XXX521960001XX</v>
      </c>
      <c r="L1692" s="391"/>
      <c r="M1692" s="484" t="s">
        <v>704</v>
      </c>
      <c r="N1692" s="487">
        <v>2624</v>
      </c>
      <c r="O1692" s="487" t="s">
        <v>2530</v>
      </c>
      <c r="P1692" s="398" t="s">
        <v>868</v>
      </c>
    </row>
    <row r="1693" spans="1:16" s="401" customFormat="1" ht="60">
      <c r="A1693" s="429">
        <f t="shared" si="89"/>
        <v>1690</v>
      </c>
      <c r="B1693" s="387">
        <v>46157</v>
      </c>
      <c r="C1693" s="388">
        <v>46113</v>
      </c>
      <c r="D1693" s="389" t="s">
        <v>248</v>
      </c>
      <c r="E1693" s="484" t="s">
        <v>593</v>
      </c>
      <c r="F1693" s="491">
        <v>1637.53</v>
      </c>
      <c r="G1693" s="486" t="s">
        <v>3147</v>
      </c>
      <c r="H1693" s="389" t="s">
        <v>736</v>
      </c>
      <c r="I1693" s="484" t="s">
        <v>668</v>
      </c>
      <c r="J1693" s="487" t="s">
        <v>669</v>
      </c>
      <c r="K1693" s="394" t="str">
        <f t="shared" si="88"/>
        <v>XXX077460001XX</v>
      </c>
      <c r="L1693" s="391"/>
      <c r="M1693" s="484" t="s">
        <v>722</v>
      </c>
      <c r="N1693" s="487">
        <v>3</v>
      </c>
      <c r="O1693" s="487" t="s">
        <v>2089</v>
      </c>
      <c r="P1693" s="398" t="s">
        <v>868</v>
      </c>
    </row>
    <row r="1694" spans="1:16" s="401" customFormat="1" ht="36">
      <c r="A1694" s="429">
        <f t="shared" si="89"/>
        <v>1691</v>
      </c>
      <c r="B1694" s="387">
        <v>46157</v>
      </c>
      <c r="C1694" s="388">
        <v>46113</v>
      </c>
      <c r="D1694" s="389" t="s">
        <v>248</v>
      </c>
      <c r="E1694" s="60" t="s">
        <v>455</v>
      </c>
      <c r="F1694" s="491">
        <v>593.17999999999995</v>
      </c>
      <c r="G1694" s="486" t="s">
        <v>3148</v>
      </c>
      <c r="H1694" s="389" t="s">
        <v>738</v>
      </c>
      <c r="I1694" s="484" t="s">
        <v>668</v>
      </c>
      <c r="J1694" s="487" t="s">
        <v>669</v>
      </c>
      <c r="K1694" s="394" t="str">
        <f t="shared" si="88"/>
        <v>XXX077460001XX</v>
      </c>
      <c r="L1694" s="391"/>
      <c r="M1694" s="484" t="s">
        <v>722</v>
      </c>
      <c r="N1694" s="487">
        <v>253</v>
      </c>
      <c r="O1694" s="487" t="s">
        <v>2094</v>
      </c>
      <c r="P1694" s="398" t="s">
        <v>868</v>
      </c>
    </row>
    <row r="1695" spans="1:16" s="401" customFormat="1" ht="36">
      <c r="A1695" s="429">
        <f t="shared" si="89"/>
        <v>1692</v>
      </c>
      <c r="B1695" s="387">
        <v>46157</v>
      </c>
      <c r="C1695" s="388">
        <v>46113</v>
      </c>
      <c r="D1695" s="389" t="s">
        <v>248</v>
      </c>
      <c r="E1695" s="60" t="s">
        <v>455</v>
      </c>
      <c r="F1695" s="491">
        <v>6524.97</v>
      </c>
      <c r="G1695" s="486" t="s">
        <v>3097</v>
      </c>
      <c r="H1695" s="389" t="s">
        <v>738</v>
      </c>
      <c r="I1695" s="484" t="s">
        <v>672</v>
      </c>
      <c r="J1695" s="487" t="s">
        <v>673</v>
      </c>
      <c r="K1695" s="394" t="str">
        <f t="shared" si="88"/>
        <v>XXX944600058XX</v>
      </c>
      <c r="L1695" s="391"/>
      <c r="M1695" s="484" t="s">
        <v>723</v>
      </c>
      <c r="N1695" s="487">
        <v>253</v>
      </c>
      <c r="O1695" s="487" t="s">
        <v>2094</v>
      </c>
      <c r="P1695" s="398" t="s">
        <v>868</v>
      </c>
    </row>
    <row r="1696" spans="1:16" s="401" customFormat="1" ht="48">
      <c r="A1696" s="429">
        <f t="shared" si="89"/>
        <v>1693</v>
      </c>
      <c r="B1696" s="387">
        <v>46157</v>
      </c>
      <c r="C1696" s="388">
        <v>46113</v>
      </c>
      <c r="D1696" s="389" t="s">
        <v>248</v>
      </c>
      <c r="E1696" s="484" t="s">
        <v>604</v>
      </c>
      <c r="F1696" s="491">
        <v>307.83</v>
      </c>
      <c r="G1696" s="486" t="s">
        <v>3149</v>
      </c>
      <c r="H1696" s="389" t="s">
        <v>1029</v>
      </c>
      <c r="I1696" s="484" t="s">
        <v>668</v>
      </c>
      <c r="J1696" s="487" t="s">
        <v>669</v>
      </c>
      <c r="K1696" s="394" t="str">
        <f t="shared" si="88"/>
        <v>XXX077460001XX</v>
      </c>
      <c r="L1696" s="403"/>
      <c r="M1696" s="484" t="s">
        <v>722</v>
      </c>
      <c r="N1696" s="487">
        <v>2296647</v>
      </c>
      <c r="O1696" s="487" t="s">
        <v>2094</v>
      </c>
      <c r="P1696" s="398" t="s">
        <v>868</v>
      </c>
    </row>
    <row r="1697" spans="1:16" s="401" customFormat="1" ht="42" customHeight="1">
      <c r="A1697" s="429">
        <f t="shared" si="89"/>
        <v>1694</v>
      </c>
      <c r="B1697" s="387">
        <v>46157</v>
      </c>
      <c r="C1697" s="388">
        <v>46113</v>
      </c>
      <c r="D1697" s="389" t="s">
        <v>248</v>
      </c>
      <c r="E1697" s="484" t="s">
        <v>604</v>
      </c>
      <c r="F1697" s="491">
        <v>2257.4699999999998</v>
      </c>
      <c r="G1697" s="486" t="s">
        <v>3098</v>
      </c>
      <c r="H1697" s="389" t="s">
        <v>1029</v>
      </c>
      <c r="I1697" s="484" t="s">
        <v>672</v>
      </c>
      <c r="J1697" s="487" t="s">
        <v>673</v>
      </c>
      <c r="K1697" s="394" t="str">
        <f t="shared" si="88"/>
        <v>XXX944600058XX</v>
      </c>
      <c r="L1697" s="391"/>
      <c r="M1697" s="484" t="s">
        <v>723</v>
      </c>
      <c r="N1697" s="487">
        <v>2296647</v>
      </c>
      <c r="O1697" s="487" t="s">
        <v>2094</v>
      </c>
      <c r="P1697" s="398" t="s">
        <v>868</v>
      </c>
    </row>
    <row r="1698" spans="1:16" s="401" customFormat="1" ht="36">
      <c r="A1698" s="429">
        <f t="shared" si="89"/>
        <v>1695</v>
      </c>
      <c r="B1698" s="387">
        <v>46157</v>
      </c>
      <c r="C1698" s="388">
        <v>46113</v>
      </c>
      <c r="D1698" s="389" t="s">
        <v>248</v>
      </c>
      <c r="E1698" s="484" t="s">
        <v>758</v>
      </c>
      <c r="F1698" s="491">
        <v>39.64</v>
      </c>
      <c r="G1698" s="486" t="s">
        <v>3150</v>
      </c>
      <c r="H1698" s="389" t="s">
        <v>738</v>
      </c>
      <c r="I1698" s="484" t="s">
        <v>668</v>
      </c>
      <c r="J1698" s="487" t="s">
        <v>669</v>
      </c>
      <c r="K1698" s="394" t="str">
        <f t="shared" si="88"/>
        <v>XXX077460001XX</v>
      </c>
      <c r="L1698" s="391"/>
      <c r="M1698" s="484" t="s">
        <v>722</v>
      </c>
      <c r="N1698" s="487">
        <v>446</v>
      </c>
      <c r="O1698" s="487" t="s">
        <v>2097</v>
      </c>
      <c r="P1698" s="398" t="s">
        <v>868</v>
      </c>
    </row>
    <row r="1699" spans="1:16" s="401" customFormat="1" ht="36">
      <c r="A1699" s="429">
        <f t="shared" si="89"/>
        <v>1696</v>
      </c>
      <c r="B1699" s="387">
        <v>46157</v>
      </c>
      <c r="C1699" s="388">
        <v>46113</v>
      </c>
      <c r="D1699" s="389" t="s">
        <v>166</v>
      </c>
      <c r="E1699" s="484" t="s">
        <v>603</v>
      </c>
      <c r="F1699" s="491">
        <v>119748.86</v>
      </c>
      <c r="G1699" s="486" t="s">
        <v>2737</v>
      </c>
      <c r="H1699" s="389" t="s">
        <v>166</v>
      </c>
      <c r="I1699" s="484" t="s">
        <v>655</v>
      </c>
      <c r="J1699" s="487" t="s">
        <v>656</v>
      </c>
      <c r="K1699" s="394" t="str">
        <f t="shared" si="88"/>
        <v>XXX131780001XX</v>
      </c>
      <c r="L1699" s="403"/>
      <c r="M1699" s="484" t="s">
        <v>704</v>
      </c>
      <c r="N1699" s="487">
        <v>471594</v>
      </c>
      <c r="O1699" s="487" t="s">
        <v>2549</v>
      </c>
      <c r="P1699" s="398" t="s">
        <v>572</v>
      </c>
    </row>
    <row r="1700" spans="1:16" s="401" customFormat="1" ht="36">
      <c r="A1700" s="429">
        <f t="shared" si="89"/>
        <v>1697</v>
      </c>
      <c r="B1700" s="387">
        <v>46157</v>
      </c>
      <c r="C1700" s="388">
        <v>46113</v>
      </c>
      <c r="D1700" s="389" t="s">
        <v>166</v>
      </c>
      <c r="E1700" s="484" t="s">
        <v>603</v>
      </c>
      <c r="F1700" s="491">
        <v>11131.43</v>
      </c>
      <c r="G1700" s="486" t="s">
        <v>2737</v>
      </c>
      <c r="H1700" s="389" t="s">
        <v>166</v>
      </c>
      <c r="I1700" s="484" t="s">
        <v>657</v>
      </c>
      <c r="J1700" s="487" t="s">
        <v>656</v>
      </c>
      <c r="K1700" s="394" t="str">
        <f t="shared" si="88"/>
        <v>XXX131780001XX</v>
      </c>
      <c r="L1700" s="403"/>
      <c r="M1700" s="484" t="s">
        <v>704</v>
      </c>
      <c r="N1700" s="487">
        <v>422954</v>
      </c>
      <c r="O1700" s="487" t="s">
        <v>2092</v>
      </c>
      <c r="P1700" s="398" t="s">
        <v>572</v>
      </c>
    </row>
    <row r="1701" spans="1:16" s="401" customFormat="1" ht="100.5" customHeight="1">
      <c r="A1701" s="429">
        <f t="shared" si="89"/>
        <v>1698</v>
      </c>
      <c r="B1701" s="387">
        <v>46157</v>
      </c>
      <c r="C1701" s="388">
        <v>46113</v>
      </c>
      <c r="D1701" s="389" t="s">
        <v>248</v>
      </c>
      <c r="E1701" s="484" t="s">
        <v>758</v>
      </c>
      <c r="F1701" s="491">
        <v>1025.8699999999999</v>
      </c>
      <c r="G1701" s="486" t="s">
        <v>3151</v>
      </c>
      <c r="H1701" s="392" t="s">
        <v>738</v>
      </c>
      <c r="I1701" s="484" t="s">
        <v>668</v>
      </c>
      <c r="J1701" s="487" t="s">
        <v>669</v>
      </c>
      <c r="K1701" s="394" t="str">
        <f t="shared" si="88"/>
        <v>XXX077460001XX</v>
      </c>
      <c r="L1701" s="403"/>
      <c r="M1701" s="484" t="s">
        <v>722</v>
      </c>
      <c r="N1701" s="487">
        <v>280</v>
      </c>
      <c r="O1701" s="487" t="s">
        <v>2103</v>
      </c>
      <c r="P1701" s="398" t="s">
        <v>868</v>
      </c>
    </row>
    <row r="1702" spans="1:16" s="401" customFormat="1" ht="102.75" customHeight="1">
      <c r="A1702" s="429">
        <f t="shared" si="89"/>
        <v>1699</v>
      </c>
      <c r="B1702" s="387">
        <v>46157</v>
      </c>
      <c r="C1702" s="388">
        <v>46113</v>
      </c>
      <c r="D1702" s="389" t="s">
        <v>248</v>
      </c>
      <c r="E1702" s="484" t="s">
        <v>758</v>
      </c>
      <c r="F1702" s="491">
        <v>11284.61</v>
      </c>
      <c r="G1702" s="486" t="s">
        <v>3099</v>
      </c>
      <c r="H1702" s="392" t="s">
        <v>738</v>
      </c>
      <c r="I1702" s="484" t="s">
        <v>672</v>
      </c>
      <c r="J1702" s="487" t="s">
        <v>673</v>
      </c>
      <c r="K1702" s="394" t="str">
        <f t="shared" si="88"/>
        <v>XXX944600058XX</v>
      </c>
      <c r="L1702" s="403"/>
      <c r="M1702" s="484" t="s">
        <v>723</v>
      </c>
      <c r="N1702" s="487">
        <v>280</v>
      </c>
      <c r="O1702" s="487" t="s">
        <v>2103</v>
      </c>
      <c r="P1702" s="398" t="s">
        <v>868</v>
      </c>
    </row>
    <row r="1703" spans="1:16" s="401" customFormat="1" ht="96">
      <c r="A1703" s="429">
        <f t="shared" si="89"/>
        <v>1700</v>
      </c>
      <c r="B1703" s="387">
        <v>46157</v>
      </c>
      <c r="C1703" s="388">
        <v>46113</v>
      </c>
      <c r="D1703" s="389" t="s">
        <v>248</v>
      </c>
      <c r="E1703" s="484" t="s">
        <v>595</v>
      </c>
      <c r="F1703" s="491">
        <v>34.47</v>
      </c>
      <c r="G1703" s="486" t="s">
        <v>3152</v>
      </c>
      <c r="H1703" s="392" t="s">
        <v>278</v>
      </c>
      <c r="I1703" s="484" t="s">
        <v>668</v>
      </c>
      <c r="J1703" s="487" t="s">
        <v>669</v>
      </c>
      <c r="K1703" s="394" t="str">
        <f t="shared" si="88"/>
        <v>XXX077460001XX</v>
      </c>
      <c r="L1703" s="403"/>
      <c r="M1703" s="484" t="s">
        <v>722</v>
      </c>
      <c r="N1703" s="487">
        <v>991</v>
      </c>
      <c r="O1703" s="487" t="s">
        <v>2089</v>
      </c>
      <c r="P1703" s="398" t="s">
        <v>868</v>
      </c>
    </row>
    <row r="1704" spans="1:16" s="401" customFormat="1" ht="103.5" customHeight="1">
      <c r="A1704" s="429">
        <f t="shared" si="89"/>
        <v>1701</v>
      </c>
      <c r="B1704" s="387">
        <v>46157</v>
      </c>
      <c r="C1704" s="388">
        <v>46113</v>
      </c>
      <c r="D1704" s="389" t="s">
        <v>248</v>
      </c>
      <c r="E1704" s="484" t="s">
        <v>595</v>
      </c>
      <c r="F1704" s="491">
        <v>252.78</v>
      </c>
      <c r="G1704" s="486" t="s">
        <v>3100</v>
      </c>
      <c r="H1704" s="392" t="s">
        <v>278</v>
      </c>
      <c r="I1704" s="484" t="s">
        <v>672</v>
      </c>
      <c r="J1704" s="487" t="s">
        <v>673</v>
      </c>
      <c r="K1704" s="394" t="str">
        <f t="shared" si="88"/>
        <v>XXX944600058XX</v>
      </c>
      <c r="L1704" s="403"/>
      <c r="M1704" s="484" t="s">
        <v>723</v>
      </c>
      <c r="N1704" s="487">
        <v>991</v>
      </c>
      <c r="O1704" s="487" t="s">
        <v>2089</v>
      </c>
      <c r="P1704" s="398" t="s">
        <v>868</v>
      </c>
    </row>
    <row r="1705" spans="1:16" s="401" customFormat="1" ht="72">
      <c r="A1705" s="429">
        <f t="shared" si="89"/>
        <v>1702</v>
      </c>
      <c r="B1705" s="387">
        <v>46157</v>
      </c>
      <c r="C1705" s="388">
        <v>46113</v>
      </c>
      <c r="D1705" s="389" t="s">
        <v>248</v>
      </c>
      <c r="E1705" s="60" t="s">
        <v>78</v>
      </c>
      <c r="F1705" s="491">
        <v>100.8</v>
      </c>
      <c r="G1705" s="486" t="s">
        <v>3153</v>
      </c>
      <c r="H1705" s="392" t="s">
        <v>736</v>
      </c>
      <c r="I1705" s="484" t="s">
        <v>668</v>
      </c>
      <c r="J1705" s="487" t="s">
        <v>669</v>
      </c>
      <c r="K1705" s="394" t="str">
        <f t="shared" si="88"/>
        <v>XXX077460001XX</v>
      </c>
      <c r="L1705" s="403"/>
      <c r="M1705" s="484" t="s">
        <v>722</v>
      </c>
      <c r="N1705" s="487">
        <v>16</v>
      </c>
      <c r="O1705" s="487" t="s">
        <v>2096</v>
      </c>
      <c r="P1705" s="398" t="s">
        <v>868</v>
      </c>
    </row>
    <row r="1706" spans="1:16" s="401" customFormat="1" ht="60">
      <c r="A1706" s="429">
        <f t="shared" si="89"/>
        <v>1703</v>
      </c>
      <c r="B1706" s="387">
        <v>46157</v>
      </c>
      <c r="C1706" s="388">
        <v>46113</v>
      </c>
      <c r="D1706" s="389" t="s">
        <v>248</v>
      </c>
      <c r="E1706" s="60" t="s">
        <v>78</v>
      </c>
      <c r="F1706" s="491">
        <v>739.2</v>
      </c>
      <c r="G1706" s="486" t="s">
        <v>3095</v>
      </c>
      <c r="H1706" s="392" t="s">
        <v>736</v>
      </c>
      <c r="I1706" s="484" t="s">
        <v>672</v>
      </c>
      <c r="J1706" s="487" t="s">
        <v>673</v>
      </c>
      <c r="K1706" s="394" t="str">
        <f t="shared" si="88"/>
        <v>XXX944600058XX</v>
      </c>
      <c r="L1706" s="403"/>
      <c r="M1706" s="484" t="s">
        <v>723</v>
      </c>
      <c r="N1706" s="487">
        <v>16</v>
      </c>
      <c r="O1706" s="487" t="s">
        <v>2096</v>
      </c>
      <c r="P1706" s="398" t="s">
        <v>868</v>
      </c>
    </row>
    <row r="1707" spans="1:16" s="401" customFormat="1" ht="36">
      <c r="A1707" s="429">
        <f t="shared" si="89"/>
        <v>1704</v>
      </c>
      <c r="B1707" s="387">
        <v>46157</v>
      </c>
      <c r="C1707" s="388">
        <v>46143</v>
      </c>
      <c r="D1707" s="389" t="s">
        <v>248</v>
      </c>
      <c r="E1707" s="484" t="s">
        <v>590</v>
      </c>
      <c r="F1707" s="491">
        <v>114.1</v>
      </c>
      <c r="G1707" s="486" t="s">
        <v>2341</v>
      </c>
      <c r="H1707" s="389" t="s">
        <v>736</v>
      </c>
      <c r="I1707" s="484" t="s">
        <v>670</v>
      </c>
      <c r="J1707" s="487" t="s">
        <v>671</v>
      </c>
      <c r="K1707" s="394" t="str">
        <f t="shared" si="88"/>
        <v>XXX902520003XX</v>
      </c>
      <c r="L1707" s="403"/>
      <c r="M1707" s="484" t="s">
        <v>704</v>
      </c>
      <c r="N1707" s="487">
        <v>2420069</v>
      </c>
      <c r="O1707" s="487" t="s">
        <v>2529</v>
      </c>
      <c r="P1707" s="398" t="s">
        <v>868</v>
      </c>
    </row>
    <row r="1708" spans="1:16" s="401" customFormat="1" ht="36">
      <c r="A1708" s="429">
        <f t="shared" si="89"/>
        <v>1705</v>
      </c>
      <c r="B1708" s="387">
        <v>46157</v>
      </c>
      <c r="C1708" s="388">
        <v>46113</v>
      </c>
      <c r="D1708" s="389" t="s">
        <v>248</v>
      </c>
      <c r="E1708" s="59" t="s">
        <v>150</v>
      </c>
      <c r="F1708" s="491">
        <v>154.44999999999999</v>
      </c>
      <c r="G1708" s="486" t="s">
        <v>2824</v>
      </c>
      <c r="H1708" s="389" t="s">
        <v>278</v>
      </c>
      <c r="I1708" s="484" t="s">
        <v>641</v>
      </c>
      <c r="J1708" s="487" t="s">
        <v>642</v>
      </c>
      <c r="K1708" s="394" t="str">
        <f t="shared" si="88"/>
        <v>XXX581570009XX</v>
      </c>
      <c r="L1708" s="403"/>
      <c r="M1708" s="484" t="s">
        <v>717</v>
      </c>
      <c r="N1708" s="487">
        <v>251090137</v>
      </c>
      <c r="O1708" s="487" t="s">
        <v>2104</v>
      </c>
      <c r="P1708" s="398" t="s">
        <v>868</v>
      </c>
    </row>
    <row r="1709" spans="1:16" s="401" customFormat="1" ht="36">
      <c r="A1709" s="429">
        <f t="shared" si="89"/>
        <v>1706</v>
      </c>
      <c r="B1709" s="387">
        <v>46157</v>
      </c>
      <c r="C1709" s="388">
        <v>46113</v>
      </c>
      <c r="D1709" s="389" t="s">
        <v>248</v>
      </c>
      <c r="E1709" s="59" t="s">
        <v>151</v>
      </c>
      <c r="F1709" s="491">
        <v>792.29</v>
      </c>
      <c r="G1709" s="486" t="s">
        <v>2824</v>
      </c>
      <c r="H1709" s="389" t="s">
        <v>278</v>
      </c>
      <c r="I1709" s="484" t="s">
        <v>641</v>
      </c>
      <c r="J1709" s="487" t="s">
        <v>642</v>
      </c>
      <c r="K1709" s="394" t="str">
        <f t="shared" si="88"/>
        <v>XXX581570009XX</v>
      </c>
      <c r="L1709" s="403"/>
      <c r="M1709" s="484" t="s">
        <v>717</v>
      </c>
      <c r="N1709" s="487">
        <v>251090137</v>
      </c>
      <c r="O1709" s="487" t="s">
        <v>2104</v>
      </c>
      <c r="P1709" s="398" t="s">
        <v>868</v>
      </c>
    </row>
    <row r="1710" spans="1:16" s="401" customFormat="1" ht="36">
      <c r="A1710" s="429">
        <f t="shared" si="89"/>
        <v>1707</v>
      </c>
      <c r="B1710" s="387">
        <v>46157</v>
      </c>
      <c r="C1710" s="388">
        <v>46113</v>
      </c>
      <c r="D1710" s="389" t="s">
        <v>248</v>
      </c>
      <c r="E1710" s="59" t="s">
        <v>150</v>
      </c>
      <c r="F1710" s="491">
        <v>33.92</v>
      </c>
      <c r="G1710" s="486" t="s">
        <v>2824</v>
      </c>
      <c r="H1710" s="389" t="s">
        <v>278</v>
      </c>
      <c r="I1710" s="484" t="s">
        <v>641</v>
      </c>
      <c r="J1710" s="487" t="s">
        <v>642</v>
      </c>
      <c r="K1710" s="394" t="str">
        <f t="shared" si="88"/>
        <v>XXX581570009XX</v>
      </c>
      <c r="L1710" s="391"/>
      <c r="M1710" s="484" t="s">
        <v>717</v>
      </c>
      <c r="N1710" s="487">
        <v>251090175</v>
      </c>
      <c r="O1710" s="487" t="s">
        <v>2104</v>
      </c>
      <c r="P1710" s="398" t="s">
        <v>868</v>
      </c>
    </row>
    <row r="1711" spans="1:16" s="401" customFormat="1" ht="36">
      <c r="A1711" s="429">
        <f t="shared" si="89"/>
        <v>1708</v>
      </c>
      <c r="B1711" s="387">
        <v>46157</v>
      </c>
      <c r="C1711" s="388">
        <v>46113</v>
      </c>
      <c r="D1711" s="389" t="s">
        <v>248</v>
      </c>
      <c r="E1711" s="59" t="s">
        <v>151</v>
      </c>
      <c r="F1711" s="491">
        <v>173.98</v>
      </c>
      <c r="G1711" s="486" t="s">
        <v>2824</v>
      </c>
      <c r="H1711" s="389" t="s">
        <v>278</v>
      </c>
      <c r="I1711" s="484" t="s">
        <v>641</v>
      </c>
      <c r="J1711" s="487" t="s">
        <v>642</v>
      </c>
      <c r="K1711" s="394" t="str">
        <f t="shared" si="88"/>
        <v>XXX581570009XX</v>
      </c>
      <c r="L1711" s="403"/>
      <c r="M1711" s="484" t="s">
        <v>717</v>
      </c>
      <c r="N1711" s="487">
        <v>251090175</v>
      </c>
      <c r="O1711" s="487" t="s">
        <v>2104</v>
      </c>
      <c r="P1711" s="398" t="s">
        <v>868</v>
      </c>
    </row>
    <row r="1712" spans="1:16" s="401" customFormat="1" ht="72">
      <c r="A1712" s="429">
        <f t="shared" si="89"/>
        <v>1709</v>
      </c>
      <c r="B1712" s="387">
        <v>46157</v>
      </c>
      <c r="C1712" s="388">
        <v>46113</v>
      </c>
      <c r="D1712" s="389" t="s">
        <v>248</v>
      </c>
      <c r="E1712" s="60" t="s">
        <v>78</v>
      </c>
      <c r="F1712" s="491">
        <v>312.48</v>
      </c>
      <c r="G1712" s="486" t="s">
        <v>3115</v>
      </c>
      <c r="H1712" s="389" t="s">
        <v>736</v>
      </c>
      <c r="I1712" s="484" t="s">
        <v>668</v>
      </c>
      <c r="J1712" s="487" t="s">
        <v>669</v>
      </c>
      <c r="K1712" s="394" t="str">
        <f t="shared" si="88"/>
        <v>XXX077460001XX</v>
      </c>
      <c r="L1712" s="403"/>
      <c r="M1712" s="484" t="s">
        <v>721</v>
      </c>
      <c r="N1712" s="487">
        <v>16</v>
      </c>
      <c r="O1712" s="487" t="s">
        <v>2096</v>
      </c>
      <c r="P1712" s="398" t="s">
        <v>868</v>
      </c>
    </row>
    <row r="1713" spans="1:16" s="401" customFormat="1" ht="36">
      <c r="A1713" s="429">
        <f t="shared" si="89"/>
        <v>1710</v>
      </c>
      <c r="B1713" s="387">
        <v>46157</v>
      </c>
      <c r="C1713" s="388">
        <v>46113</v>
      </c>
      <c r="D1713" s="389" t="s">
        <v>248</v>
      </c>
      <c r="E1713" s="484" t="s">
        <v>593</v>
      </c>
      <c r="F1713" s="491">
        <v>5076.3500000000004</v>
      </c>
      <c r="G1713" s="489" t="s">
        <v>3118</v>
      </c>
      <c r="H1713" s="389" t="s">
        <v>736</v>
      </c>
      <c r="I1713" s="484" t="s">
        <v>668</v>
      </c>
      <c r="J1713" s="487" t="s">
        <v>669</v>
      </c>
      <c r="K1713" s="394" t="str">
        <f t="shared" si="88"/>
        <v>XXX077460001XX</v>
      </c>
      <c r="L1713" s="403"/>
      <c r="M1713" s="484" t="s">
        <v>721</v>
      </c>
      <c r="N1713" s="487">
        <v>3</v>
      </c>
      <c r="O1713" s="487" t="s">
        <v>2089</v>
      </c>
      <c r="P1713" s="398" t="s">
        <v>868</v>
      </c>
    </row>
    <row r="1714" spans="1:16" s="401" customFormat="1" ht="36">
      <c r="A1714" s="429">
        <f t="shared" si="89"/>
        <v>1711</v>
      </c>
      <c r="B1714" s="387">
        <v>46157</v>
      </c>
      <c r="C1714" s="388">
        <v>46113</v>
      </c>
      <c r="D1714" s="389" t="s">
        <v>248</v>
      </c>
      <c r="E1714" s="484" t="s">
        <v>604</v>
      </c>
      <c r="F1714" s="491">
        <v>954.28</v>
      </c>
      <c r="G1714" s="489" t="s">
        <v>3118</v>
      </c>
      <c r="H1714" s="389" t="s">
        <v>1029</v>
      </c>
      <c r="I1714" s="484" t="s">
        <v>668</v>
      </c>
      <c r="J1714" s="487" t="s">
        <v>669</v>
      </c>
      <c r="K1714" s="394" t="str">
        <f t="shared" si="88"/>
        <v>XXX077460001XX</v>
      </c>
      <c r="L1714" s="403"/>
      <c r="M1714" s="484" t="s">
        <v>721</v>
      </c>
      <c r="N1714" s="487">
        <v>2296647</v>
      </c>
      <c r="O1714" s="487" t="s">
        <v>2094</v>
      </c>
      <c r="P1714" s="398" t="s">
        <v>868</v>
      </c>
    </row>
    <row r="1715" spans="1:16" s="401" customFormat="1" ht="36">
      <c r="A1715" s="429">
        <f t="shared" si="89"/>
        <v>1712</v>
      </c>
      <c r="B1715" s="387">
        <v>46157</v>
      </c>
      <c r="C1715" s="388">
        <v>46113</v>
      </c>
      <c r="D1715" s="389" t="s">
        <v>248</v>
      </c>
      <c r="E1715" s="60" t="s">
        <v>455</v>
      </c>
      <c r="F1715" s="491">
        <v>2758.29</v>
      </c>
      <c r="G1715" s="486" t="s">
        <v>3119</v>
      </c>
      <c r="H1715" s="389" t="s">
        <v>738</v>
      </c>
      <c r="I1715" s="484" t="s">
        <v>668</v>
      </c>
      <c r="J1715" s="487" t="s">
        <v>669</v>
      </c>
      <c r="K1715" s="394" t="str">
        <f t="shared" si="88"/>
        <v>XXX077460001XX</v>
      </c>
      <c r="L1715" s="403"/>
      <c r="M1715" s="484" t="s">
        <v>721</v>
      </c>
      <c r="N1715" s="487">
        <v>253</v>
      </c>
      <c r="O1715" s="487" t="s">
        <v>2094</v>
      </c>
      <c r="P1715" s="398" t="s">
        <v>868</v>
      </c>
    </row>
    <row r="1716" spans="1:16" s="401" customFormat="1" ht="96">
      <c r="A1716" s="429">
        <f t="shared" si="89"/>
        <v>1713</v>
      </c>
      <c r="B1716" s="387">
        <v>46157</v>
      </c>
      <c r="C1716" s="388">
        <v>46113</v>
      </c>
      <c r="D1716" s="389" t="s">
        <v>248</v>
      </c>
      <c r="E1716" s="484" t="s">
        <v>595</v>
      </c>
      <c r="F1716" s="491">
        <v>106.86</v>
      </c>
      <c r="G1716" s="486" t="s">
        <v>3120</v>
      </c>
      <c r="H1716" s="389" t="s">
        <v>278</v>
      </c>
      <c r="I1716" s="484" t="s">
        <v>668</v>
      </c>
      <c r="J1716" s="487" t="s">
        <v>669</v>
      </c>
      <c r="K1716" s="394" t="str">
        <f t="shared" si="88"/>
        <v>XXX077460001XX</v>
      </c>
      <c r="L1716" s="403"/>
      <c r="M1716" s="484" t="s">
        <v>721</v>
      </c>
      <c r="N1716" s="487">
        <v>991</v>
      </c>
      <c r="O1716" s="487" t="s">
        <v>2089</v>
      </c>
      <c r="P1716" s="398" t="s">
        <v>868</v>
      </c>
    </row>
    <row r="1717" spans="1:16" s="401" customFormat="1" ht="36">
      <c r="A1717" s="429">
        <f t="shared" si="89"/>
        <v>1714</v>
      </c>
      <c r="B1717" s="387">
        <v>46157</v>
      </c>
      <c r="C1717" s="388">
        <v>46113</v>
      </c>
      <c r="D1717" s="389" t="s">
        <v>248</v>
      </c>
      <c r="E1717" s="484" t="s">
        <v>758</v>
      </c>
      <c r="F1717" s="491">
        <v>184.33</v>
      </c>
      <c r="G1717" s="486" t="s">
        <v>3121</v>
      </c>
      <c r="H1717" s="392" t="s">
        <v>738</v>
      </c>
      <c r="I1717" s="484" t="s">
        <v>668</v>
      </c>
      <c r="J1717" s="487" t="s">
        <v>669</v>
      </c>
      <c r="K1717" s="394" t="str">
        <f t="shared" si="88"/>
        <v>XXX077460001XX</v>
      </c>
      <c r="L1717" s="403"/>
      <c r="M1717" s="484" t="s">
        <v>721</v>
      </c>
      <c r="N1717" s="487">
        <v>446</v>
      </c>
      <c r="O1717" s="487" t="s">
        <v>2097</v>
      </c>
      <c r="P1717" s="398" t="s">
        <v>868</v>
      </c>
    </row>
    <row r="1718" spans="1:16" s="401" customFormat="1" ht="96">
      <c r="A1718" s="429">
        <f t="shared" si="89"/>
        <v>1715</v>
      </c>
      <c r="B1718" s="387">
        <v>46157</v>
      </c>
      <c r="C1718" s="388">
        <v>46113</v>
      </c>
      <c r="D1718" s="389" t="s">
        <v>248</v>
      </c>
      <c r="E1718" s="484" t="s">
        <v>758</v>
      </c>
      <c r="F1718" s="491">
        <v>4770.3100000000004</v>
      </c>
      <c r="G1718" s="486" t="s">
        <v>3122</v>
      </c>
      <c r="H1718" s="392" t="s">
        <v>738</v>
      </c>
      <c r="I1718" s="484" t="s">
        <v>668</v>
      </c>
      <c r="J1718" s="487" t="s">
        <v>669</v>
      </c>
      <c r="K1718" s="394" t="str">
        <f t="shared" si="88"/>
        <v>XXX077460001XX</v>
      </c>
      <c r="L1718" s="403"/>
      <c r="M1718" s="484" t="s">
        <v>721</v>
      </c>
      <c r="N1718" s="487">
        <v>280</v>
      </c>
      <c r="O1718" s="487" t="s">
        <v>2103</v>
      </c>
      <c r="P1718" s="398" t="s">
        <v>868</v>
      </c>
    </row>
    <row r="1719" spans="1:16" s="401" customFormat="1" ht="48">
      <c r="A1719" s="429">
        <f t="shared" si="89"/>
        <v>1716</v>
      </c>
      <c r="B1719" s="387">
        <v>46157</v>
      </c>
      <c r="C1719" s="388">
        <v>46143</v>
      </c>
      <c r="D1719" s="389" t="s">
        <v>248</v>
      </c>
      <c r="E1719" s="484" t="s">
        <v>607</v>
      </c>
      <c r="F1719" s="491">
        <v>38.229999999999997</v>
      </c>
      <c r="G1719" s="486" t="s">
        <v>2825</v>
      </c>
      <c r="H1719" s="389" t="s">
        <v>736</v>
      </c>
      <c r="I1719" s="398" t="s">
        <v>2953</v>
      </c>
      <c r="J1719" s="399" t="s">
        <v>2954</v>
      </c>
      <c r="K1719" s="394" t="str">
        <f t="shared" si="88"/>
        <v>26.068.130/0003-11</v>
      </c>
      <c r="L1719" s="403"/>
      <c r="M1719" s="484" t="s">
        <v>710</v>
      </c>
      <c r="N1719" s="487">
        <v>109514</v>
      </c>
      <c r="O1719" s="487" t="s">
        <v>2535</v>
      </c>
      <c r="P1719" s="391" t="s">
        <v>2525</v>
      </c>
    </row>
    <row r="1720" spans="1:16" s="401" customFormat="1" ht="36">
      <c r="A1720" s="429">
        <f t="shared" si="89"/>
        <v>1717</v>
      </c>
      <c r="B1720" s="387">
        <v>46160</v>
      </c>
      <c r="C1720" s="388">
        <v>46143</v>
      </c>
      <c r="D1720" s="389" t="s">
        <v>166</v>
      </c>
      <c r="E1720" s="484" t="s">
        <v>585</v>
      </c>
      <c r="F1720" s="491">
        <v>50</v>
      </c>
      <c r="G1720" s="486" t="s">
        <v>2826</v>
      </c>
      <c r="H1720" s="389" t="s">
        <v>166</v>
      </c>
      <c r="I1720" s="484" t="s">
        <v>620</v>
      </c>
      <c r="J1720" s="487" t="s">
        <v>621</v>
      </c>
      <c r="K1720" s="394" t="str">
        <f t="shared" si="88"/>
        <v>XXX408760001XX</v>
      </c>
      <c r="L1720" s="403"/>
      <c r="M1720" s="484" t="s">
        <v>706</v>
      </c>
      <c r="N1720" s="487">
        <v>2057887454</v>
      </c>
      <c r="O1720" s="487" t="s">
        <v>2536</v>
      </c>
      <c r="P1720" s="398" t="s">
        <v>572</v>
      </c>
    </row>
    <row r="1721" spans="1:16" s="401" customFormat="1" ht="36">
      <c r="A1721" s="429">
        <f t="shared" si="89"/>
        <v>1718</v>
      </c>
      <c r="B1721" s="387">
        <v>46160</v>
      </c>
      <c r="C1721" s="388">
        <v>46143</v>
      </c>
      <c r="D1721" s="389" t="s">
        <v>166</v>
      </c>
      <c r="E1721" s="484" t="s">
        <v>586</v>
      </c>
      <c r="F1721" s="491">
        <v>320</v>
      </c>
      <c r="G1721" s="486" t="s">
        <v>2827</v>
      </c>
      <c r="H1721" s="389" t="s">
        <v>166</v>
      </c>
      <c r="I1721" s="484" t="s">
        <v>620</v>
      </c>
      <c r="J1721" s="487" t="s">
        <v>621</v>
      </c>
      <c r="K1721" s="394" t="str">
        <f t="shared" si="88"/>
        <v>XXX408760001XX</v>
      </c>
      <c r="L1721" s="403"/>
      <c r="M1721" s="484" t="s">
        <v>706</v>
      </c>
      <c r="N1721" s="487">
        <v>2057887456</v>
      </c>
      <c r="O1721" s="487" t="s">
        <v>2536</v>
      </c>
      <c r="P1721" s="398" t="s">
        <v>572</v>
      </c>
    </row>
    <row r="1722" spans="1:16" s="401" customFormat="1" ht="36">
      <c r="A1722" s="429">
        <f t="shared" si="89"/>
        <v>1719</v>
      </c>
      <c r="B1722" s="387">
        <v>46160</v>
      </c>
      <c r="C1722" s="388">
        <v>46143</v>
      </c>
      <c r="D1722" s="389" t="s">
        <v>248</v>
      </c>
      <c r="E1722" s="484" t="s">
        <v>1552</v>
      </c>
      <c r="F1722" s="491">
        <v>-500</v>
      </c>
      <c r="G1722" s="486" t="s">
        <v>2828</v>
      </c>
      <c r="H1722" s="389" t="s">
        <v>736</v>
      </c>
      <c r="I1722" s="484" t="s">
        <v>2604</v>
      </c>
      <c r="J1722" s="487" t="s">
        <v>2605</v>
      </c>
      <c r="K1722" s="394" t="str">
        <f t="shared" si="88"/>
        <v>XXX148620001XX</v>
      </c>
      <c r="L1722" s="403"/>
      <c r="M1722" s="484" t="s">
        <v>1207</v>
      </c>
      <c r="N1722" s="487">
        <v>719</v>
      </c>
      <c r="O1722" s="487" t="s">
        <v>2531</v>
      </c>
      <c r="P1722" s="398" t="s">
        <v>868</v>
      </c>
    </row>
    <row r="1723" spans="1:16" s="401" customFormat="1" ht="48">
      <c r="A1723" s="429">
        <f t="shared" si="89"/>
        <v>1720</v>
      </c>
      <c r="B1723" s="387">
        <v>46160</v>
      </c>
      <c r="C1723" s="388">
        <v>46113</v>
      </c>
      <c r="D1723" s="389" t="s">
        <v>248</v>
      </c>
      <c r="E1723" s="484" t="s">
        <v>597</v>
      </c>
      <c r="F1723" s="491">
        <v>908</v>
      </c>
      <c r="G1723" s="486" t="s">
        <v>2829</v>
      </c>
      <c r="H1723" s="392" t="s">
        <v>278</v>
      </c>
      <c r="I1723" s="484" t="s">
        <v>1472</v>
      </c>
      <c r="J1723" s="487" t="s">
        <v>1473</v>
      </c>
      <c r="K1723" s="394" t="str">
        <f t="shared" si="88"/>
        <v>XXX735210001XX</v>
      </c>
      <c r="L1723" s="403"/>
      <c r="M1723" s="484" t="s">
        <v>706</v>
      </c>
      <c r="N1723" s="487">
        <v>98441</v>
      </c>
      <c r="O1723" s="487" t="s">
        <v>2548</v>
      </c>
      <c r="P1723" s="398" t="s">
        <v>574</v>
      </c>
    </row>
    <row r="1724" spans="1:16" s="401" customFormat="1" ht="36">
      <c r="A1724" s="429">
        <f t="shared" si="89"/>
        <v>1721</v>
      </c>
      <c r="B1724" s="387">
        <v>46160</v>
      </c>
      <c r="C1724" s="388">
        <v>46143</v>
      </c>
      <c r="D1724" s="389" t="s">
        <v>248</v>
      </c>
      <c r="E1724" s="484" t="s">
        <v>591</v>
      </c>
      <c r="F1724" s="491">
        <v>160.69999999999999</v>
      </c>
      <c r="G1724" s="486" t="s">
        <v>2320</v>
      </c>
      <c r="H1724" s="389" t="s">
        <v>736</v>
      </c>
      <c r="I1724" s="484" t="s">
        <v>1495</v>
      </c>
      <c r="J1724" s="487" t="s">
        <v>1496</v>
      </c>
      <c r="K1724" s="394" t="str">
        <f t="shared" si="88"/>
        <v>XXX864720001XX</v>
      </c>
      <c r="L1724" s="403"/>
      <c r="M1724" s="484" t="s">
        <v>708</v>
      </c>
      <c r="N1724" s="487">
        <v>299</v>
      </c>
      <c r="O1724" s="487" t="s">
        <v>2535</v>
      </c>
      <c r="P1724" s="398" t="s">
        <v>574</v>
      </c>
    </row>
    <row r="1725" spans="1:16" s="401" customFormat="1" ht="36">
      <c r="A1725" s="429">
        <f t="shared" si="89"/>
        <v>1722</v>
      </c>
      <c r="B1725" s="387">
        <v>46160</v>
      </c>
      <c r="C1725" s="388">
        <v>46143</v>
      </c>
      <c r="D1725" s="389" t="s">
        <v>166</v>
      </c>
      <c r="E1725" s="484" t="s">
        <v>584</v>
      </c>
      <c r="F1725" s="491">
        <v>100.95</v>
      </c>
      <c r="G1725" s="486" t="s">
        <v>2830</v>
      </c>
      <c r="H1725" s="389" t="s">
        <v>166</v>
      </c>
      <c r="I1725" s="484" t="s">
        <v>618</v>
      </c>
      <c r="J1725" s="487" t="s">
        <v>619</v>
      </c>
      <c r="K1725" s="394" t="str">
        <f t="shared" si="88"/>
        <v>XXX985050001XX</v>
      </c>
      <c r="L1725" s="403"/>
      <c r="M1725" s="484" t="s">
        <v>706</v>
      </c>
      <c r="N1725" s="487">
        <v>2057887471</v>
      </c>
      <c r="O1725" s="487" t="s">
        <v>2536</v>
      </c>
      <c r="P1725" s="398" t="s">
        <v>572</v>
      </c>
    </row>
    <row r="1726" spans="1:16" s="401" customFormat="1" ht="36">
      <c r="A1726" s="429">
        <f t="shared" si="89"/>
        <v>1723</v>
      </c>
      <c r="B1726" s="387">
        <v>46160</v>
      </c>
      <c r="C1726" s="388">
        <v>46143</v>
      </c>
      <c r="D1726" s="389" t="s">
        <v>248</v>
      </c>
      <c r="E1726" s="484" t="s">
        <v>597</v>
      </c>
      <c r="F1726" s="491">
        <v>35</v>
      </c>
      <c r="G1726" s="486" t="s">
        <v>2831</v>
      </c>
      <c r="H1726" s="392" t="s">
        <v>278</v>
      </c>
      <c r="I1726" s="484" t="s">
        <v>2984</v>
      </c>
      <c r="J1726" s="492">
        <v>627534470071</v>
      </c>
      <c r="K1726" s="394" t="str">
        <f t="shared" si="88"/>
        <v>XXX534470071XX</v>
      </c>
      <c r="L1726" s="403"/>
      <c r="M1726" s="484" t="s">
        <v>710</v>
      </c>
      <c r="N1726" s="487">
        <v>1510</v>
      </c>
      <c r="O1726" s="487" t="s">
        <v>2536</v>
      </c>
      <c r="P1726" s="391" t="s">
        <v>2525</v>
      </c>
    </row>
    <row r="1727" spans="1:16" s="401" customFormat="1" ht="36">
      <c r="A1727" s="429">
        <f t="shared" si="89"/>
        <v>1724</v>
      </c>
      <c r="B1727" s="387">
        <v>46161</v>
      </c>
      <c r="C1727" s="388">
        <v>46113</v>
      </c>
      <c r="D1727" s="389" t="s">
        <v>166</v>
      </c>
      <c r="E1727" s="484" t="s">
        <v>603</v>
      </c>
      <c r="F1727" s="491">
        <v>63.25</v>
      </c>
      <c r="G1727" s="486" t="s">
        <v>3154</v>
      </c>
      <c r="H1727" s="389" t="s">
        <v>166</v>
      </c>
      <c r="I1727" s="484" t="s">
        <v>668</v>
      </c>
      <c r="J1727" s="487" t="s">
        <v>669</v>
      </c>
      <c r="K1727" s="394" t="str">
        <f t="shared" si="88"/>
        <v>XXX077460001XX</v>
      </c>
      <c r="L1727" s="403"/>
      <c r="M1727" s="484" t="s">
        <v>724</v>
      </c>
      <c r="N1727" s="487">
        <v>422954</v>
      </c>
      <c r="O1727" s="487" t="s">
        <v>2092</v>
      </c>
      <c r="P1727" s="398" t="s">
        <v>572</v>
      </c>
    </row>
    <row r="1728" spans="1:16" s="401" customFormat="1" ht="36">
      <c r="A1728" s="429">
        <f t="shared" si="89"/>
        <v>1725</v>
      </c>
      <c r="B1728" s="387">
        <v>46161</v>
      </c>
      <c r="C1728" s="388">
        <v>46113</v>
      </c>
      <c r="D1728" s="389" t="s">
        <v>166</v>
      </c>
      <c r="E1728" s="83" t="s">
        <v>234</v>
      </c>
      <c r="F1728" s="491">
        <v>276748.12</v>
      </c>
      <c r="G1728" s="486" t="s">
        <v>2832</v>
      </c>
      <c r="H1728" s="389" t="s">
        <v>166</v>
      </c>
      <c r="I1728" s="484" t="s">
        <v>668</v>
      </c>
      <c r="J1728" s="487" t="s">
        <v>669</v>
      </c>
      <c r="K1728" s="394" t="str">
        <f t="shared" si="88"/>
        <v>XXX077460001XX</v>
      </c>
      <c r="L1728" s="403"/>
      <c r="M1728" s="484" t="s">
        <v>723</v>
      </c>
      <c r="N1728" s="487">
        <v>2100</v>
      </c>
      <c r="O1728" s="487" t="s">
        <v>2089</v>
      </c>
      <c r="P1728" s="398" t="s">
        <v>572</v>
      </c>
    </row>
    <row r="1729" spans="1:16" s="401" customFormat="1" ht="36">
      <c r="A1729" s="429">
        <f t="shared" si="89"/>
        <v>1726</v>
      </c>
      <c r="B1729" s="387">
        <v>46161</v>
      </c>
      <c r="C1729" s="388">
        <v>46113</v>
      </c>
      <c r="D1729" s="389" t="s">
        <v>166</v>
      </c>
      <c r="E1729" s="484" t="s">
        <v>1210</v>
      </c>
      <c r="F1729" s="491">
        <v>115243</v>
      </c>
      <c r="G1729" s="486" t="s">
        <v>2833</v>
      </c>
      <c r="H1729" s="389" t="s">
        <v>166</v>
      </c>
      <c r="I1729" s="484" t="s">
        <v>668</v>
      </c>
      <c r="J1729" s="487" t="s">
        <v>669</v>
      </c>
      <c r="K1729" s="394" t="str">
        <f t="shared" si="88"/>
        <v>XXX077460001XX</v>
      </c>
      <c r="L1729" s="403"/>
      <c r="M1729" s="484" t="s">
        <v>2259</v>
      </c>
      <c r="N1729" s="487">
        <v>561</v>
      </c>
      <c r="O1729" s="487" t="s">
        <v>2089</v>
      </c>
      <c r="P1729" s="398" t="s">
        <v>572</v>
      </c>
    </row>
    <row r="1730" spans="1:16" s="401" customFormat="1" ht="36">
      <c r="A1730" s="429">
        <f t="shared" si="89"/>
        <v>1727</v>
      </c>
      <c r="B1730" s="387">
        <v>46161</v>
      </c>
      <c r="C1730" s="388">
        <v>46113</v>
      </c>
      <c r="D1730" s="389" t="s">
        <v>166</v>
      </c>
      <c r="E1730" s="83" t="s">
        <v>245</v>
      </c>
      <c r="F1730" s="491">
        <v>8051.89</v>
      </c>
      <c r="G1730" s="486" t="s">
        <v>2834</v>
      </c>
      <c r="H1730" s="389" t="s">
        <v>166</v>
      </c>
      <c r="I1730" s="484" t="s">
        <v>668</v>
      </c>
      <c r="J1730" s="487" t="s">
        <v>669</v>
      </c>
      <c r="K1730" s="394" t="str">
        <f t="shared" si="88"/>
        <v>XXX077460001XX</v>
      </c>
      <c r="L1730" s="403"/>
      <c r="M1730" s="484" t="s">
        <v>725</v>
      </c>
      <c r="N1730" s="487">
        <v>83010426</v>
      </c>
      <c r="O1730" s="487" t="s">
        <v>2089</v>
      </c>
      <c r="P1730" s="398" t="s">
        <v>572</v>
      </c>
    </row>
    <row r="1731" spans="1:16" s="401" customFormat="1" ht="36">
      <c r="A1731" s="429">
        <f t="shared" si="89"/>
        <v>1728</v>
      </c>
      <c r="B1731" s="387">
        <v>46161</v>
      </c>
      <c r="C1731" s="388">
        <v>46113</v>
      </c>
      <c r="D1731" s="389" t="s">
        <v>166</v>
      </c>
      <c r="E1731" s="484" t="s">
        <v>603</v>
      </c>
      <c r="F1731" s="491">
        <v>196.09</v>
      </c>
      <c r="G1731" s="489" t="s">
        <v>3118</v>
      </c>
      <c r="H1731" s="389" t="s">
        <v>166</v>
      </c>
      <c r="I1731" s="484" t="s">
        <v>668</v>
      </c>
      <c r="J1731" s="487" t="s">
        <v>669</v>
      </c>
      <c r="K1731" s="394" t="str">
        <f t="shared" ref="K1731:K1774" si="90">IF(J1731="","",IF(LEN(J1731)&gt;14,IF(ISBLANK(J1731),"",J1731),REPLACE(REPLACE(J1731,1,3,"XXX"),13,2,"XX")))</f>
        <v>XXX077460001XX</v>
      </c>
      <c r="L1731" s="391"/>
      <c r="M1731" s="484" t="s">
        <v>721</v>
      </c>
      <c r="N1731" s="487">
        <v>422954</v>
      </c>
      <c r="O1731" s="487" t="s">
        <v>2092</v>
      </c>
      <c r="P1731" s="398" t="s">
        <v>572</v>
      </c>
    </row>
    <row r="1732" spans="1:16" s="401" customFormat="1" ht="36">
      <c r="A1732" s="429">
        <f t="shared" si="89"/>
        <v>1729</v>
      </c>
      <c r="B1732" s="387">
        <v>46162</v>
      </c>
      <c r="C1732" s="388">
        <v>46113</v>
      </c>
      <c r="D1732" s="389" t="s">
        <v>248</v>
      </c>
      <c r="E1732" s="484" t="s">
        <v>602</v>
      </c>
      <c r="F1732" s="491">
        <v>41.25</v>
      </c>
      <c r="G1732" s="486" t="s">
        <v>3155</v>
      </c>
      <c r="H1732" s="389" t="s">
        <v>278</v>
      </c>
      <c r="I1732" s="484" t="s">
        <v>668</v>
      </c>
      <c r="J1732" s="487" t="s">
        <v>669</v>
      </c>
      <c r="K1732" s="394" t="str">
        <f t="shared" si="90"/>
        <v>XXX077460001XX</v>
      </c>
      <c r="L1732" s="391"/>
      <c r="M1732" s="484" t="s">
        <v>722</v>
      </c>
      <c r="N1732" s="487">
        <v>238</v>
      </c>
      <c r="O1732" s="487" t="s">
        <v>2089</v>
      </c>
      <c r="P1732" s="398" t="s">
        <v>574</v>
      </c>
    </row>
    <row r="1733" spans="1:16" s="401" customFormat="1" ht="48">
      <c r="A1733" s="429">
        <f t="shared" si="89"/>
        <v>1730</v>
      </c>
      <c r="B1733" s="387">
        <v>46162</v>
      </c>
      <c r="C1733" s="388">
        <v>46113</v>
      </c>
      <c r="D1733" s="389" t="s">
        <v>248</v>
      </c>
      <c r="E1733" s="60" t="s">
        <v>78</v>
      </c>
      <c r="F1733" s="491">
        <v>72.599999999999994</v>
      </c>
      <c r="G1733" s="486" t="s">
        <v>3101</v>
      </c>
      <c r="H1733" s="389" t="s">
        <v>278</v>
      </c>
      <c r="I1733" s="484" t="s">
        <v>672</v>
      </c>
      <c r="J1733" s="487" t="s">
        <v>673</v>
      </c>
      <c r="K1733" s="394" t="str">
        <f t="shared" si="90"/>
        <v>XXX944600058XX</v>
      </c>
      <c r="L1733" s="391"/>
      <c r="M1733" s="484" t="s">
        <v>723</v>
      </c>
      <c r="N1733" s="487">
        <v>30</v>
      </c>
      <c r="O1733" s="487" t="s">
        <v>2090</v>
      </c>
      <c r="P1733" s="398" t="s">
        <v>574</v>
      </c>
    </row>
    <row r="1734" spans="1:16" s="401" customFormat="1" ht="72">
      <c r="A1734" s="429">
        <f t="shared" si="89"/>
        <v>1731</v>
      </c>
      <c r="B1734" s="387">
        <v>46162</v>
      </c>
      <c r="C1734" s="388">
        <v>46113</v>
      </c>
      <c r="D1734" s="389" t="s">
        <v>248</v>
      </c>
      <c r="E1734" s="60" t="s">
        <v>78</v>
      </c>
      <c r="F1734" s="491">
        <v>49.43</v>
      </c>
      <c r="G1734" s="486" t="s">
        <v>3156</v>
      </c>
      <c r="H1734" s="392" t="s">
        <v>1029</v>
      </c>
      <c r="I1734" s="484" t="s">
        <v>668</v>
      </c>
      <c r="J1734" s="487" t="s">
        <v>669</v>
      </c>
      <c r="K1734" s="394" t="str">
        <f t="shared" si="90"/>
        <v>XXX077460001XX</v>
      </c>
      <c r="L1734" s="391"/>
      <c r="M1734" s="484" t="s">
        <v>722</v>
      </c>
      <c r="N1734" s="487">
        <v>709</v>
      </c>
      <c r="O1734" s="487" t="s">
        <v>2093</v>
      </c>
      <c r="P1734" s="398" t="s">
        <v>574</v>
      </c>
    </row>
    <row r="1735" spans="1:16" s="401" customFormat="1" ht="72">
      <c r="A1735" s="429">
        <f t="shared" si="89"/>
        <v>1732</v>
      </c>
      <c r="B1735" s="387">
        <v>46162</v>
      </c>
      <c r="C1735" s="388">
        <v>46113</v>
      </c>
      <c r="D1735" s="389" t="s">
        <v>248</v>
      </c>
      <c r="E1735" s="60" t="s">
        <v>78</v>
      </c>
      <c r="F1735" s="491">
        <v>543.72</v>
      </c>
      <c r="G1735" s="486" t="s">
        <v>3102</v>
      </c>
      <c r="H1735" s="389" t="s">
        <v>1029</v>
      </c>
      <c r="I1735" s="484" t="s">
        <v>672</v>
      </c>
      <c r="J1735" s="487" t="s">
        <v>673</v>
      </c>
      <c r="K1735" s="394" t="str">
        <f t="shared" si="90"/>
        <v>XXX944600058XX</v>
      </c>
      <c r="L1735" s="391"/>
      <c r="M1735" s="484" t="s">
        <v>723</v>
      </c>
      <c r="N1735" s="487">
        <v>709</v>
      </c>
      <c r="O1735" s="487" t="s">
        <v>2093</v>
      </c>
      <c r="P1735" s="398" t="s">
        <v>574</v>
      </c>
    </row>
    <row r="1736" spans="1:16" s="401" customFormat="1" ht="48">
      <c r="A1736" s="429">
        <f t="shared" si="89"/>
        <v>1733</v>
      </c>
      <c r="B1736" s="387">
        <v>46162</v>
      </c>
      <c r="C1736" s="388">
        <v>46113</v>
      </c>
      <c r="D1736" s="389" t="s">
        <v>248</v>
      </c>
      <c r="E1736" s="60" t="s">
        <v>87</v>
      </c>
      <c r="F1736" s="491">
        <v>1386.34</v>
      </c>
      <c r="G1736" s="486" t="s">
        <v>2835</v>
      </c>
      <c r="H1736" s="389" t="s">
        <v>278</v>
      </c>
      <c r="I1736" s="484" t="s">
        <v>674</v>
      </c>
      <c r="J1736" s="487" t="s">
        <v>675</v>
      </c>
      <c r="K1736" s="390" t="str">
        <f t="shared" si="90"/>
        <v>XXX414630001XX</v>
      </c>
      <c r="L1736" s="403"/>
      <c r="M1736" s="484" t="s">
        <v>704</v>
      </c>
      <c r="N1736" s="487">
        <v>2502</v>
      </c>
      <c r="O1736" s="487" t="s">
        <v>2101</v>
      </c>
      <c r="P1736" s="398" t="s">
        <v>574</v>
      </c>
    </row>
    <row r="1737" spans="1:16" s="401" customFormat="1" ht="36">
      <c r="A1737" s="429">
        <f t="shared" si="89"/>
        <v>1734</v>
      </c>
      <c r="B1737" s="387">
        <v>46162</v>
      </c>
      <c r="C1737" s="388">
        <v>46113</v>
      </c>
      <c r="D1737" s="389" t="s">
        <v>166</v>
      </c>
      <c r="E1737" s="484" t="s">
        <v>581</v>
      </c>
      <c r="F1737" s="491">
        <v>11.1</v>
      </c>
      <c r="G1737" s="486" t="s">
        <v>3157</v>
      </c>
      <c r="H1737" s="389" t="s">
        <v>166</v>
      </c>
      <c r="I1737" s="484" t="s">
        <v>668</v>
      </c>
      <c r="J1737" s="487" t="s">
        <v>669</v>
      </c>
      <c r="K1737" s="390" t="str">
        <f t="shared" si="90"/>
        <v>XXX077460001XX</v>
      </c>
      <c r="L1737" s="403"/>
      <c r="M1737" s="484" t="s">
        <v>722</v>
      </c>
      <c r="N1737" s="487">
        <v>15317</v>
      </c>
      <c r="O1737" s="487" t="s">
        <v>2100</v>
      </c>
      <c r="P1737" s="398" t="s">
        <v>574</v>
      </c>
    </row>
    <row r="1738" spans="1:16" s="401" customFormat="1" ht="36">
      <c r="A1738" s="429">
        <f t="shared" si="89"/>
        <v>1735</v>
      </c>
      <c r="B1738" s="387">
        <v>46162</v>
      </c>
      <c r="C1738" s="388">
        <v>46113</v>
      </c>
      <c r="D1738" s="389" t="s">
        <v>248</v>
      </c>
      <c r="E1738" s="484" t="s">
        <v>595</v>
      </c>
      <c r="F1738" s="491">
        <v>35</v>
      </c>
      <c r="G1738" s="486" t="s">
        <v>3158</v>
      </c>
      <c r="H1738" s="389" t="s">
        <v>738</v>
      </c>
      <c r="I1738" s="484" t="s">
        <v>668</v>
      </c>
      <c r="J1738" s="487" t="s">
        <v>669</v>
      </c>
      <c r="K1738" s="394" t="str">
        <f t="shared" si="90"/>
        <v>XXX077460001XX</v>
      </c>
      <c r="L1738" s="403"/>
      <c r="M1738" s="484" t="s">
        <v>722</v>
      </c>
      <c r="N1738" s="487">
        <v>28825</v>
      </c>
      <c r="O1738" s="487" t="s">
        <v>2097</v>
      </c>
      <c r="P1738" s="398" t="s">
        <v>574</v>
      </c>
    </row>
    <row r="1739" spans="1:16" s="401" customFormat="1" ht="69.75" customHeight="1">
      <c r="A1739" s="429">
        <f t="shared" si="89"/>
        <v>1736</v>
      </c>
      <c r="B1739" s="387">
        <v>46162</v>
      </c>
      <c r="C1739" s="388">
        <v>46113</v>
      </c>
      <c r="D1739" s="389" t="s">
        <v>248</v>
      </c>
      <c r="E1739" s="60" t="s">
        <v>78</v>
      </c>
      <c r="F1739" s="491">
        <v>72.599999999999994</v>
      </c>
      <c r="G1739" s="486" t="s">
        <v>3103</v>
      </c>
      <c r="H1739" s="389" t="s">
        <v>278</v>
      </c>
      <c r="I1739" s="484" t="s">
        <v>672</v>
      </c>
      <c r="J1739" s="487" t="s">
        <v>673</v>
      </c>
      <c r="K1739" s="394" t="str">
        <f t="shared" si="90"/>
        <v>XXX944600058XX</v>
      </c>
      <c r="L1739" s="403"/>
      <c r="M1739" s="484" t="s">
        <v>723</v>
      </c>
      <c r="N1739" s="487">
        <v>31</v>
      </c>
      <c r="O1739" s="487" t="s">
        <v>2104</v>
      </c>
      <c r="P1739" s="398" t="s">
        <v>574</v>
      </c>
    </row>
    <row r="1740" spans="1:16" s="401" customFormat="1" ht="36">
      <c r="A1740" s="429">
        <f t="shared" si="89"/>
        <v>1737</v>
      </c>
      <c r="B1740" s="387">
        <v>46162</v>
      </c>
      <c r="C1740" s="388">
        <v>46113</v>
      </c>
      <c r="D1740" s="389" t="s">
        <v>248</v>
      </c>
      <c r="E1740" s="484" t="s">
        <v>590</v>
      </c>
      <c r="F1740" s="491">
        <v>2685.73</v>
      </c>
      <c r="G1740" s="489" t="s">
        <v>3159</v>
      </c>
      <c r="H1740" s="389" t="s">
        <v>736</v>
      </c>
      <c r="I1740" s="484" t="s">
        <v>670</v>
      </c>
      <c r="J1740" s="487" t="s">
        <v>671</v>
      </c>
      <c r="K1740" s="394" t="str">
        <f t="shared" ref="K1740" si="91">IF(J1740="","",IF(LEN(J1740)&gt;14,IF(ISBLANK(J1740),"",J1740),REPLACE(REPLACE(J1740,1,3,"XXX"),13,2,"XX")))</f>
        <v>XXX902520003XX</v>
      </c>
      <c r="L1740" s="403"/>
      <c r="M1740" s="484" t="s">
        <v>704</v>
      </c>
      <c r="N1740" s="487">
        <v>5313370</v>
      </c>
      <c r="O1740" s="487" t="s">
        <v>2096</v>
      </c>
      <c r="P1740" s="398" t="s">
        <v>868</v>
      </c>
    </row>
    <row r="1741" spans="1:16" s="401" customFormat="1" ht="48">
      <c r="A1741" s="429">
        <f t="shared" si="89"/>
        <v>1738</v>
      </c>
      <c r="B1741" s="387">
        <v>46162</v>
      </c>
      <c r="C1741" s="388">
        <v>46113</v>
      </c>
      <c r="D1741" s="389" t="s">
        <v>248</v>
      </c>
      <c r="E1741" s="59" t="s">
        <v>167</v>
      </c>
      <c r="F1741" s="491">
        <v>121.31</v>
      </c>
      <c r="G1741" s="486" t="s">
        <v>2836</v>
      </c>
      <c r="H1741" s="389" t="s">
        <v>278</v>
      </c>
      <c r="I1741" s="484" t="s">
        <v>666</v>
      </c>
      <c r="J1741" s="487" t="s">
        <v>667</v>
      </c>
      <c r="K1741" s="394" t="str">
        <f t="shared" si="90"/>
        <v>XXX085160001XX</v>
      </c>
      <c r="L1741" s="403"/>
      <c r="M1741" s="484" t="s">
        <v>717</v>
      </c>
      <c r="N1741" s="487">
        <v>540919448</v>
      </c>
      <c r="O1741" s="487" t="s">
        <v>2552</v>
      </c>
      <c r="P1741" s="398" t="s">
        <v>574</v>
      </c>
    </row>
    <row r="1742" spans="1:16" s="401" customFormat="1" ht="60">
      <c r="A1742" s="429">
        <f t="shared" si="89"/>
        <v>1739</v>
      </c>
      <c r="B1742" s="387">
        <v>46162</v>
      </c>
      <c r="C1742" s="388">
        <v>46143</v>
      </c>
      <c r="D1742" s="389" t="s">
        <v>248</v>
      </c>
      <c r="E1742" s="59" t="s">
        <v>170</v>
      </c>
      <c r="F1742" s="491">
        <v>8145.84</v>
      </c>
      <c r="G1742" s="486" t="s">
        <v>2837</v>
      </c>
      <c r="H1742" s="392" t="s">
        <v>278</v>
      </c>
      <c r="I1742" s="484" t="s">
        <v>678</v>
      </c>
      <c r="J1742" s="487" t="s">
        <v>679</v>
      </c>
      <c r="K1742" s="394" t="str">
        <f t="shared" si="90"/>
        <v>XXX140620001XX</v>
      </c>
      <c r="L1742" s="391"/>
      <c r="M1742" s="484" t="s">
        <v>704</v>
      </c>
      <c r="N1742" s="487">
        <v>23054</v>
      </c>
      <c r="O1742" s="487" t="s">
        <v>2527</v>
      </c>
      <c r="P1742" s="398" t="s">
        <v>574</v>
      </c>
    </row>
    <row r="1743" spans="1:16" s="401" customFormat="1" ht="36">
      <c r="A1743" s="429">
        <f t="shared" si="89"/>
        <v>1740</v>
      </c>
      <c r="B1743" s="387">
        <v>46162</v>
      </c>
      <c r="C1743" s="388">
        <v>46113</v>
      </c>
      <c r="D1743" s="389" t="s">
        <v>166</v>
      </c>
      <c r="E1743" s="484" t="s">
        <v>581</v>
      </c>
      <c r="F1743" s="491">
        <v>475.59</v>
      </c>
      <c r="G1743" s="486" t="s">
        <v>2838</v>
      </c>
      <c r="H1743" s="389" t="s">
        <v>166</v>
      </c>
      <c r="I1743" s="484" t="s">
        <v>611</v>
      </c>
      <c r="J1743" s="487" t="s">
        <v>612</v>
      </c>
      <c r="K1743" s="394" t="str">
        <f t="shared" si="90"/>
        <v>XXX312660001XX</v>
      </c>
      <c r="L1743" s="403"/>
      <c r="M1743" s="484" t="s">
        <v>704</v>
      </c>
      <c r="N1743" s="487">
        <v>6852</v>
      </c>
      <c r="O1743" s="487" t="s">
        <v>2529</v>
      </c>
      <c r="P1743" s="398" t="s">
        <v>574</v>
      </c>
    </row>
    <row r="1744" spans="1:16" s="401" customFormat="1" ht="36">
      <c r="A1744" s="429">
        <f t="shared" si="89"/>
        <v>1741</v>
      </c>
      <c r="B1744" s="387">
        <v>46162</v>
      </c>
      <c r="C1744" s="388">
        <v>46143</v>
      </c>
      <c r="D1744" s="389" t="s">
        <v>166</v>
      </c>
      <c r="E1744" s="484" t="s">
        <v>581</v>
      </c>
      <c r="F1744" s="491">
        <v>344.96</v>
      </c>
      <c r="G1744" s="486" t="s">
        <v>2839</v>
      </c>
      <c r="H1744" s="389" t="s">
        <v>166</v>
      </c>
      <c r="I1744" s="484" t="s">
        <v>2630</v>
      </c>
      <c r="J1744" s="487" t="s">
        <v>2631</v>
      </c>
      <c r="K1744" s="394" t="str">
        <f t="shared" si="90"/>
        <v>XXX645750001XX</v>
      </c>
      <c r="L1744" s="391"/>
      <c r="M1744" s="484" t="s">
        <v>704</v>
      </c>
      <c r="N1744" s="487">
        <v>242</v>
      </c>
      <c r="O1744" s="487" t="s">
        <v>2527</v>
      </c>
      <c r="P1744" s="398" t="s">
        <v>574</v>
      </c>
    </row>
    <row r="1745" spans="1:16" s="401" customFormat="1" ht="60">
      <c r="A1745" s="429">
        <f t="shared" si="89"/>
        <v>1742</v>
      </c>
      <c r="B1745" s="387">
        <v>46162</v>
      </c>
      <c r="C1745" s="388">
        <v>46113</v>
      </c>
      <c r="D1745" s="389" t="s">
        <v>248</v>
      </c>
      <c r="E1745" s="484" t="s">
        <v>608</v>
      </c>
      <c r="F1745" s="491">
        <v>218.08</v>
      </c>
      <c r="G1745" s="486" t="s">
        <v>2795</v>
      </c>
      <c r="H1745" s="389" t="s">
        <v>1029</v>
      </c>
      <c r="I1745" s="484" t="s">
        <v>645</v>
      </c>
      <c r="J1745" s="487" t="s">
        <v>646</v>
      </c>
      <c r="K1745" s="394" t="str">
        <f t="shared" si="90"/>
        <v>XXX460700001XX</v>
      </c>
      <c r="L1745" s="391"/>
      <c r="M1745" s="484" t="s">
        <v>708</v>
      </c>
      <c r="N1745" s="487">
        <v>2118</v>
      </c>
      <c r="O1745" s="487" t="s">
        <v>2529</v>
      </c>
      <c r="P1745" s="398" t="s">
        <v>574</v>
      </c>
    </row>
    <row r="1746" spans="1:16" s="401" customFormat="1" ht="36">
      <c r="A1746" s="429">
        <f t="shared" si="89"/>
        <v>1743</v>
      </c>
      <c r="B1746" s="387">
        <v>46162</v>
      </c>
      <c r="C1746" s="388">
        <v>46143</v>
      </c>
      <c r="D1746" s="389" t="s">
        <v>248</v>
      </c>
      <c r="E1746" s="60" t="s">
        <v>171</v>
      </c>
      <c r="F1746" s="491">
        <v>289.89999999999998</v>
      </c>
      <c r="G1746" s="486" t="s">
        <v>2840</v>
      </c>
      <c r="H1746" s="389" t="s">
        <v>278</v>
      </c>
      <c r="I1746" s="484" t="s">
        <v>676</v>
      </c>
      <c r="J1746" s="487" t="s">
        <v>677</v>
      </c>
      <c r="K1746" s="394" t="str">
        <f t="shared" si="90"/>
        <v>XXX432920001XX</v>
      </c>
      <c r="L1746" s="391"/>
      <c r="M1746" s="484" t="s">
        <v>704</v>
      </c>
      <c r="N1746" s="487">
        <v>316</v>
      </c>
      <c r="O1746" s="487" t="s">
        <v>2530</v>
      </c>
      <c r="P1746" s="398" t="s">
        <v>574</v>
      </c>
    </row>
    <row r="1747" spans="1:16" s="401" customFormat="1" ht="36">
      <c r="A1747" s="429">
        <f t="shared" si="89"/>
        <v>1744</v>
      </c>
      <c r="B1747" s="387">
        <v>46162</v>
      </c>
      <c r="C1747" s="388">
        <v>46143</v>
      </c>
      <c r="D1747" s="389" t="s">
        <v>248</v>
      </c>
      <c r="E1747" s="60" t="s">
        <v>171</v>
      </c>
      <c r="F1747" s="491">
        <v>1033.07</v>
      </c>
      <c r="G1747" s="486" t="s">
        <v>2840</v>
      </c>
      <c r="H1747" s="389" t="s">
        <v>278</v>
      </c>
      <c r="I1747" s="484" t="s">
        <v>676</v>
      </c>
      <c r="J1747" s="487" t="s">
        <v>677</v>
      </c>
      <c r="K1747" s="394" t="str">
        <f t="shared" si="90"/>
        <v>XXX432920001XX</v>
      </c>
      <c r="L1747" s="403"/>
      <c r="M1747" s="484" t="s">
        <v>704</v>
      </c>
      <c r="N1747" s="487">
        <v>317</v>
      </c>
      <c r="O1747" s="487" t="s">
        <v>2530</v>
      </c>
      <c r="P1747" s="398" t="s">
        <v>574</v>
      </c>
    </row>
    <row r="1748" spans="1:16" s="401" customFormat="1" ht="36">
      <c r="A1748" s="429">
        <f t="shared" si="89"/>
        <v>1745</v>
      </c>
      <c r="B1748" s="387">
        <v>46162</v>
      </c>
      <c r="C1748" s="388">
        <v>46113</v>
      </c>
      <c r="D1748" s="389" t="s">
        <v>166</v>
      </c>
      <c r="E1748" s="83" t="s">
        <v>234</v>
      </c>
      <c r="F1748" s="491">
        <v>183043.89</v>
      </c>
      <c r="G1748" s="486" t="s">
        <v>2841</v>
      </c>
      <c r="H1748" s="389" t="s">
        <v>166</v>
      </c>
      <c r="I1748" s="484" t="s">
        <v>668</v>
      </c>
      <c r="J1748" s="487" t="s">
        <v>669</v>
      </c>
      <c r="K1748" s="390" t="str">
        <f t="shared" ref="K1748:K1749" si="92">IF(J1748="","",IF(LEN(J1748)&gt;14,IF(ISBLANK(J1748),"",J1748),REPLACE(REPLACE(J1748,1,3,"XXX"),13,2,"XX")))</f>
        <v>XXX077460001XX</v>
      </c>
      <c r="L1748" s="391"/>
      <c r="M1748" s="484" t="s">
        <v>723</v>
      </c>
      <c r="N1748" s="487">
        <v>2100</v>
      </c>
      <c r="O1748" s="487" t="s">
        <v>2089</v>
      </c>
      <c r="P1748" s="398" t="s">
        <v>868</v>
      </c>
    </row>
    <row r="1749" spans="1:16" s="401" customFormat="1" ht="36">
      <c r="A1749" s="429">
        <f t="shared" si="89"/>
        <v>1746</v>
      </c>
      <c r="B1749" s="387">
        <v>46162</v>
      </c>
      <c r="C1749" s="388">
        <v>46113</v>
      </c>
      <c r="D1749" s="389" t="s">
        <v>166</v>
      </c>
      <c r="E1749" s="39" t="s">
        <v>1</v>
      </c>
      <c r="F1749" s="491">
        <v>103856.73</v>
      </c>
      <c r="G1749" s="486" t="s">
        <v>2842</v>
      </c>
      <c r="H1749" s="389" t="s">
        <v>166</v>
      </c>
      <c r="I1749" s="484" t="s">
        <v>668</v>
      </c>
      <c r="J1749" s="487" t="s">
        <v>669</v>
      </c>
      <c r="K1749" s="390" t="str">
        <f t="shared" si="92"/>
        <v>XXX077460001XX</v>
      </c>
      <c r="L1749" s="391"/>
      <c r="M1749" s="484" t="s">
        <v>2259</v>
      </c>
      <c r="N1749" s="487">
        <v>561</v>
      </c>
      <c r="O1749" s="487" t="s">
        <v>2089</v>
      </c>
      <c r="P1749" s="398" t="s">
        <v>868</v>
      </c>
    </row>
    <row r="1750" spans="1:16" s="401" customFormat="1" ht="36">
      <c r="A1750" s="429">
        <f t="shared" si="89"/>
        <v>1747</v>
      </c>
      <c r="B1750" s="387">
        <v>46162</v>
      </c>
      <c r="C1750" s="388">
        <v>46113</v>
      </c>
      <c r="D1750" s="389" t="s">
        <v>166</v>
      </c>
      <c r="E1750" s="83" t="s">
        <v>245</v>
      </c>
      <c r="F1750" s="491">
        <v>5303.11</v>
      </c>
      <c r="G1750" s="486" t="s">
        <v>2843</v>
      </c>
      <c r="H1750" s="389" t="s">
        <v>166</v>
      </c>
      <c r="I1750" s="484" t="s">
        <v>668</v>
      </c>
      <c r="J1750" s="487" t="s">
        <v>669</v>
      </c>
      <c r="K1750" s="394" t="str">
        <f t="shared" si="90"/>
        <v>XXX077460001XX</v>
      </c>
      <c r="L1750" s="391"/>
      <c r="M1750" s="484" t="s">
        <v>725</v>
      </c>
      <c r="N1750" s="487">
        <v>83010426</v>
      </c>
      <c r="O1750" s="487" t="s">
        <v>2089</v>
      </c>
      <c r="P1750" s="398" t="s">
        <v>868</v>
      </c>
    </row>
    <row r="1751" spans="1:16" s="401" customFormat="1" ht="36">
      <c r="A1751" s="429">
        <f t="shared" ref="A1751:A1813" si="93">IF(B1751="","",ROW()-ROW($A$3))</f>
        <v>1748</v>
      </c>
      <c r="B1751" s="387">
        <v>46162</v>
      </c>
      <c r="C1751" s="388">
        <v>46113</v>
      </c>
      <c r="D1751" s="389" t="s">
        <v>248</v>
      </c>
      <c r="E1751" s="484" t="s">
        <v>595</v>
      </c>
      <c r="F1751" s="491">
        <v>162.75</v>
      </c>
      <c r="G1751" s="486" t="s">
        <v>3123</v>
      </c>
      <c r="H1751" s="392" t="s">
        <v>738</v>
      </c>
      <c r="I1751" s="484" t="s">
        <v>668</v>
      </c>
      <c r="J1751" s="487" t="s">
        <v>669</v>
      </c>
      <c r="K1751" s="394" t="str">
        <f t="shared" si="90"/>
        <v>XXX077460001XX</v>
      </c>
      <c r="L1751" s="391"/>
      <c r="M1751" s="484" t="s">
        <v>721</v>
      </c>
      <c r="N1751" s="487">
        <v>28825</v>
      </c>
      <c r="O1751" s="487" t="s">
        <v>2097</v>
      </c>
      <c r="P1751" s="398" t="s">
        <v>574</v>
      </c>
    </row>
    <row r="1752" spans="1:16" s="401" customFormat="1" ht="48">
      <c r="A1752" s="429">
        <f t="shared" si="93"/>
        <v>1749</v>
      </c>
      <c r="B1752" s="387">
        <v>46162</v>
      </c>
      <c r="C1752" s="388">
        <v>46113</v>
      </c>
      <c r="D1752" s="389" t="s">
        <v>248</v>
      </c>
      <c r="E1752" s="60" t="s">
        <v>78</v>
      </c>
      <c r="F1752" s="491">
        <v>30.69</v>
      </c>
      <c r="G1752" s="486" t="s">
        <v>3124</v>
      </c>
      <c r="H1752" s="389" t="s">
        <v>278</v>
      </c>
      <c r="I1752" s="484" t="s">
        <v>668</v>
      </c>
      <c r="J1752" s="487" t="s">
        <v>669</v>
      </c>
      <c r="K1752" s="390" t="str">
        <f t="shared" si="90"/>
        <v>XXX077460001XX</v>
      </c>
      <c r="L1752" s="391"/>
      <c r="M1752" s="484" t="s">
        <v>721</v>
      </c>
      <c r="N1752" s="487">
        <v>30</v>
      </c>
      <c r="O1752" s="487" t="s">
        <v>2090</v>
      </c>
      <c r="P1752" s="398" t="s">
        <v>574</v>
      </c>
    </row>
    <row r="1753" spans="1:16" s="401" customFormat="1" ht="72">
      <c r="A1753" s="429">
        <f t="shared" si="93"/>
        <v>1750</v>
      </c>
      <c r="B1753" s="387">
        <v>46162</v>
      </c>
      <c r="C1753" s="388">
        <v>46113</v>
      </c>
      <c r="D1753" s="389" t="s">
        <v>248</v>
      </c>
      <c r="E1753" s="60" t="s">
        <v>78</v>
      </c>
      <c r="F1753" s="491">
        <v>30.69</v>
      </c>
      <c r="G1753" s="486" t="s">
        <v>3125</v>
      </c>
      <c r="H1753" s="389" t="s">
        <v>278</v>
      </c>
      <c r="I1753" s="484" t="s">
        <v>668</v>
      </c>
      <c r="J1753" s="487" t="s">
        <v>669</v>
      </c>
      <c r="K1753" s="390" t="str">
        <f t="shared" si="90"/>
        <v>XXX077460001XX</v>
      </c>
      <c r="L1753" s="391"/>
      <c r="M1753" s="484" t="s">
        <v>721</v>
      </c>
      <c r="N1753" s="487">
        <v>31</v>
      </c>
      <c r="O1753" s="487" t="s">
        <v>2104</v>
      </c>
      <c r="P1753" s="398" t="s">
        <v>574</v>
      </c>
    </row>
    <row r="1754" spans="1:16" s="401" customFormat="1" ht="36">
      <c r="A1754" s="429">
        <f t="shared" si="93"/>
        <v>1751</v>
      </c>
      <c r="B1754" s="387">
        <v>46162</v>
      </c>
      <c r="C1754" s="388">
        <v>46113</v>
      </c>
      <c r="D1754" s="389" t="s">
        <v>248</v>
      </c>
      <c r="E1754" s="484" t="s">
        <v>602</v>
      </c>
      <c r="F1754" s="491">
        <v>127.88</v>
      </c>
      <c r="G1754" s="486" t="s">
        <v>3126</v>
      </c>
      <c r="H1754" s="389" t="s">
        <v>278</v>
      </c>
      <c r="I1754" s="484" t="s">
        <v>668</v>
      </c>
      <c r="J1754" s="487" t="s">
        <v>669</v>
      </c>
      <c r="K1754" s="390" t="str">
        <f t="shared" si="90"/>
        <v>XXX077460001XX</v>
      </c>
      <c r="L1754" s="391"/>
      <c r="M1754" s="484" t="s">
        <v>721</v>
      </c>
      <c r="N1754" s="487">
        <v>238</v>
      </c>
      <c r="O1754" s="487" t="s">
        <v>2089</v>
      </c>
      <c r="P1754" s="398" t="s">
        <v>574</v>
      </c>
    </row>
    <row r="1755" spans="1:16" s="401" customFormat="1" ht="36">
      <c r="A1755" s="429">
        <f t="shared" si="93"/>
        <v>1752</v>
      </c>
      <c r="B1755" s="387">
        <v>46162</v>
      </c>
      <c r="C1755" s="388">
        <v>46113</v>
      </c>
      <c r="D1755" s="389" t="s">
        <v>166</v>
      </c>
      <c r="E1755" s="484" t="s">
        <v>581</v>
      </c>
      <c r="F1755" s="491">
        <v>34.4</v>
      </c>
      <c r="G1755" s="489" t="s">
        <v>3118</v>
      </c>
      <c r="H1755" s="389" t="s">
        <v>166</v>
      </c>
      <c r="I1755" s="484" t="s">
        <v>668</v>
      </c>
      <c r="J1755" s="487" t="s">
        <v>669</v>
      </c>
      <c r="K1755" s="394" t="str">
        <f t="shared" si="90"/>
        <v>XXX077460001XX</v>
      </c>
      <c r="L1755" s="391"/>
      <c r="M1755" s="484" t="s">
        <v>721</v>
      </c>
      <c r="N1755" s="487">
        <v>15317</v>
      </c>
      <c r="O1755" s="487" t="s">
        <v>2100</v>
      </c>
      <c r="P1755" s="398" t="s">
        <v>574</v>
      </c>
    </row>
    <row r="1756" spans="1:16" s="401" customFormat="1" ht="36">
      <c r="A1756" s="429">
        <f t="shared" si="93"/>
        <v>1753</v>
      </c>
      <c r="B1756" s="387">
        <v>46162</v>
      </c>
      <c r="C1756" s="388">
        <v>46113</v>
      </c>
      <c r="D1756" s="389" t="s">
        <v>166</v>
      </c>
      <c r="E1756" s="484" t="s">
        <v>581</v>
      </c>
      <c r="F1756" s="491">
        <v>29.45</v>
      </c>
      <c r="G1756" s="489" t="s">
        <v>3118</v>
      </c>
      <c r="H1756" s="389" t="s">
        <v>166</v>
      </c>
      <c r="I1756" s="484" t="s">
        <v>668</v>
      </c>
      <c r="J1756" s="487" t="s">
        <v>669</v>
      </c>
      <c r="K1756" s="394" t="str">
        <f t="shared" si="90"/>
        <v>XXX077460001XX</v>
      </c>
      <c r="L1756" s="391"/>
      <c r="M1756" s="484" t="s">
        <v>721</v>
      </c>
      <c r="N1756" s="487">
        <v>7136</v>
      </c>
      <c r="O1756" s="487" t="s">
        <v>2098</v>
      </c>
      <c r="P1756" s="398" t="s">
        <v>574</v>
      </c>
    </row>
    <row r="1757" spans="1:16" s="401" customFormat="1" ht="36">
      <c r="A1757" s="429">
        <f t="shared" si="93"/>
        <v>1754</v>
      </c>
      <c r="B1757" s="387">
        <v>46162</v>
      </c>
      <c r="C1757" s="388">
        <v>46113</v>
      </c>
      <c r="D1757" s="389" t="s">
        <v>248</v>
      </c>
      <c r="E1757" s="59" t="s">
        <v>170</v>
      </c>
      <c r="F1757" s="491">
        <v>78.55</v>
      </c>
      <c r="G1757" s="489" t="s">
        <v>3118</v>
      </c>
      <c r="H1757" s="392" t="s">
        <v>278</v>
      </c>
      <c r="I1757" s="484" t="s">
        <v>668</v>
      </c>
      <c r="J1757" s="487" t="s">
        <v>669</v>
      </c>
      <c r="K1757" s="394" t="str">
        <f t="shared" si="90"/>
        <v>XXX077460001XX</v>
      </c>
      <c r="L1757" s="391"/>
      <c r="M1757" s="484" t="s">
        <v>721</v>
      </c>
      <c r="N1757" s="487">
        <v>356672</v>
      </c>
      <c r="O1757" s="487" t="s">
        <v>2099</v>
      </c>
      <c r="P1757" s="398" t="s">
        <v>574</v>
      </c>
    </row>
    <row r="1758" spans="1:16" s="401" customFormat="1" ht="72">
      <c r="A1758" s="429">
        <f t="shared" si="93"/>
        <v>1755</v>
      </c>
      <c r="B1758" s="387">
        <v>46162</v>
      </c>
      <c r="C1758" s="388">
        <v>46113</v>
      </c>
      <c r="D1758" s="389" t="s">
        <v>248</v>
      </c>
      <c r="E1758" s="60" t="s">
        <v>78</v>
      </c>
      <c r="F1758" s="491">
        <v>229.85</v>
      </c>
      <c r="G1758" s="486" t="s">
        <v>3127</v>
      </c>
      <c r="H1758" s="392" t="s">
        <v>1029</v>
      </c>
      <c r="I1758" s="484" t="s">
        <v>668</v>
      </c>
      <c r="J1758" s="487" t="s">
        <v>669</v>
      </c>
      <c r="K1758" s="394" t="str">
        <f t="shared" si="90"/>
        <v>XXX077460001XX</v>
      </c>
      <c r="L1758" s="391"/>
      <c r="M1758" s="484" t="s">
        <v>721</v>
      </c>
      <c r="N1758" s="487">
        <v>709</v>
      </c>
      <c r="O1758" s="487" t="s">
        <v>2093</v>
      </c>
      <c r="P1758" s="398" t="s">
        <v>574</v>
      </c>
    </row>
    <row r="1759" spans="1:16" s="401" customFormat="1" ht="24">
      <c r="A1759" s="429">
        <f t="shared" si="93"/>
        <v>1756</v>
      </c>
      <c r="B1759" s="387">
        <v>46162</v>
      </c>
      <c r="C1759" s="388">
        <v>46113</v>
      </c>
      <c r="D1759" s="389" t="s">
        <v>166</v>
      </c>
      <c r="E1759" s="484" t="s">
        <v>583</v>
      </c>
      <c r="F1759" s="491">
        <v>2918.15</v>
      </c>
      <c r="G1759" s="486" t="s">
        <v>2844</v>
      </c>
      <c r="H1759" s="389" t="s">
        <v>166</v>
      </c>
      <c r="I1759" s="484" t="s">
        <v>1052</v>
      </c>
      <c r="J1759" s="487" t="s">
        <v>1053</v>
      </c>
      <c r="K1759" s="394" t="str">
        <f t="shared" si="90"/>
        <v>XXX29033610 XX</v>
      </c>
      <c r="L1759" s="391"/>
      <c r="M1759" s="484" t="s">
        <v>705</v>
      </c>
      <c r="N1759" s="487">
        <v>733</v>
      </c>
      <c r="O1759" s="487" t="s">
        <v>2089</v>
      </c>
      <c r="P1759" s="398" t="s">
        <v>573</v>
      </c>
    </row>
    <row r="1760" spans="1:16" s="401" customFormat="1" ht="36">
      <c r="A1760" s="429">
        <f t="shared" si="93"/>
        <v>1757</v>
      </c>
      <c r="B1760" s="387">
        <v>46162</v>
      </c>
      <c r="C1760" s="388">
        <v>46143</v>
      </c>
      <c r="D1760" s="389" t="s">
        <v>248</v>
      </c>
      <c r="E1760" s="484" t="s">
        <v>597</v>
      </c>
      <c r="F1760" s="491">
        <v>93.2</v>
      </c>
      <c r="G1760" s="486" t="s">
        <v>2845</v>
      </c>
      <c r="H1760" s="392" t="s">
        <v>278</v>
      </c>
      <c r="I1760" s="484" t="s">
        <v>2958</v>
      </c>
      <c r="J1760" s="487" t="s">
        <v>2959</v>
      </c>
      <c r="K1760" s="394" t="str">
        <f t="shared" si="90"/>
        <v>01.635.506/0001-30</v>
      </c>
      <c r="L1760" s="391"/>
      <c r="M1760" s="484" t="s">
        <v>710</v>
      </c>
      <c r="N1760" s="487">
        <v>60164</v>
      </c>
      <c r="O1760" s="487" t="s">
        <v>2538</v>
      </c>
      <c r="P1760" s="391" t="s">
        <v>2525</v>
      </c>
    </row>
    <row r="1761" spans="1:16" s="401" customFormat="1" ht="36">
      <c r="A1761" s="429">
        <f t="shared" si="93"/>
        <v>1758</v>
      </c>
      <c r="B1761" s="387">
        <v>46162</v>
      </c>
      <c r="C1761" s="388">
        <v>46143</v>
      </c>
      <c r="D1761" s="389" t="s">
        <v>248</v>
      </c>
      <c r="E1761" s="60" t="s">
        <v>0</v>
      </c>
      <c r="F1761" s="491">
        <v>6.8</v>
      </c>
      <c r="G1761" s="486" t="s">
        <v>2845</v>
      </c>
      <c r="H1761" s="389" t="s">
        <v>278</v>
      </c>
      <c r="I1761" s="484" t="s">
        <v>2958</v>
      </c>
      <c r="J1761" s="487" t="s">
        <v>2959</v>
      </c>
      <c r="K1761" s="394" t="str">
        <f t="shared" si="90"/>
        <v>01.635.506/0001-30</v>
      </c>
      <c r="L1761" s="391"/>
      <c r="M1761" s="484" t="s">
        <v>710</v>
      </c>
      <c r="N1761" s="487">
        <v>60164</v>
      </c>
      <c r="O1761" s="487" t="s">
        <v>2538</v>
      </c>
      <c r="P1761" s="391" t="s">
        <v>2525</v>
      </c>
    </row>
    <row r="1762" spans="1:16" s="401" customFormat="1" ht="36">
      <c r="A1762" s="429">
        <f t="shared" si="93"/>
        <v>1759</v>
      </c>
      <c r="B1762" s="387">
        <v>46163</v>
      </c>
      <c r="C1762" s="388">
        <v>46113</v>
      </c>
      <c r="D1762" s="389" t="s">
        <v>248</v>
      </c>
      <c r="E1762" s="484" t="s">
        <v>597</v>
      </c>
      <c r="F1762" s="491">
        <v>515.07000000000005</v>
      </c>
      <c r="G1762" s="486" t="s">
        <v>2846</v>
      </c>
      <c r="H1762" s="389" t="s">
        <v>738</v>
      </c>
      <c r="I1762" s="484" t="s">
        <v>2632</v>
      </c>
      <c r="J1762" s="487" t="s">
        <v>2633</v>
      </c>
      <c r="K1762" s="394" t="str">
        <f t="shared" si="90"/>
        <v>XXX857040001XX</v>
      </c>
      <c r="L1762" s="391"/>
      <c r="M1762" s="484" t="s">
        <v>708</v>
      </c>
      <c r="N1762" s="487">
        <v>415004</v>
      </c>
      <c r="O1762" s="487" t="s">
        <v>2103</v>
      </c>
      <c r="P1762" s="398" t="s">
        <v>574</v>
      </c>
    </row>
    <row r="1763" spans="1:16" s="401" customFormat="1" ht="36">
      <c r="A1763" s="429">
        <f t="shared" si="93"/>
        <v>1760</v>
      </c>
      <c r="B1763" s="387">
        <v>46163</v>
      </c>
      <c r="C1763" s="388">
        <v>46113</v>
      </c>
      <c r="D1763" s="389" t="s">
        <v>353</v>
      </c>
      <c r="E1763" s="39" t="s">
        <v>153</v>
      </c>
      <c r="F1763" s="491">
        <v>361</v>
      </c>
      <c r="G1763" s="486" t="s">
        <v>2506</v>
      </c>
      <c r="H1763" s="389" t="s">
        <v>280</v>
      </c>
      <c r="I1763" s="394" t="s">
        <v>744</v>
      </c>
      <c r="J1763" s="455">
        <v>7837375000150</v>
      </c>
      <c r="K1763" s="394" t="str">
        <f t="shared" si="90"/>
        <v>XXX737500015XX</v>
      </c>
      <c r="L1763" s="391"/>
      <c r="M1763" s="484" t="s">
        <v>726</v>
      </c>
      <c r="N1763" s="487">
        <v>25042026</v>
      </c>
      <c r="O1763" s="487" t="s">
        <v>2119</v>
      </c>
      <c r="P1763" s="398" t="s">
        <v>574</v>
      </c>
    </row>
    <row r="1764" spans="1:16" s="401" customFormat="1" ht="36">
      <c r="A1764" s="429">
        <f t="shared" si="93"/>
        <v>1761</v>
      </c>
      <c r="B1764" s="387">
        <v>46163</v>
      </c>
      <c r="C1764" s="388">
        <v>46143</v>
      </c>
      <c r="D1764" s="389" t="s">
        <v>353</v>
      </c>
      <c r="E1764" s="39" t="s">
        <v>153</v>
      </c>
      <c r="F1764" s="491">
        <v>0.52</v>
      </c>
      <c r="G1764" s="486" t="s">
        <v>2722</v>
      </c>
      <c r="H1764" s="389" t="s">
        <v>280</v>
      </c>
      <c r="I1764" s="394" t="s">
        <v>744</v>
      </c>
      <c r="J1764" s="455">
        <v>7837375000150</v>
      </c>
      <c r="K1764" s="394" t="str">
        <f t="shared" si="90"/>
        <v>XXX737500015XX</v>
      </c>
      <c r="L1764" s="391"/>
      <c r="M1764" s="484" t="s">
        <v>726</v>
      </c>
      <c r="N1764" s="487">
        <v>2052026</v>
      </c>
      <c r="O1764" s="487" t="s">
        <v>2526</v>
      </c>
      <c r="P1764" s="398" t="s">
        <v>574</v>
      </c>
    </row>
    <row r="1765" spans="1:16" s="401" customFormat="1" ht="36">
      <c r="A1765" s="429">
        <f t="shared" si="93"/>
        <v>1762</v>
      </c>
      <c r="B1765" s="387">
        <v>46163</v>
      </c>
      <c r="C1765" s="388">
        <v>46143</v>
      </c>
      <c r="D1765" s="389" t="s">
        <v>353</v>
      </c>
      <c r="E1765" s="39" t="s">
        <v>153</v>
      </c>
      <c r="F1765" s="491">
        <v>20369.34</v>
      </c>
      <c r="G1765" s="486" t="s">
        <v>821</v>
      </c>
      <c r="H1765" s="389" t="s">
        <v>280</v>
      </c>
      <c r="I1765" s="394" t="s">
        <v>744</v>
      </c>
      <c r="J1765" s="455">
        <v>7837375000150</v>
      </c>
      <c r="K1765" s="394" t="str">
        <f t="shared" si="90"/>
        <v>XXX737500015XX</v>
      </c>
      <c r="L1765" s="391"/>
      <c r="M1765" s="484" t="s">
        <v>706</v>
      </c>
      <c r="N1765" s="487">
        <v>2057887461</v>
      </c>
      <c r="O1765" s="487" t="s">
        <v>2539</v>
      </c>
      <c r="P1765" s="398" t="s">
        <v>574</v>
      </c>
    </row>
    <row r="1766" spans="1:16" s="401" customFormat="1" ht="48">
      <c r="A1766" s="429">
        <f t="shared" si="93"/>
        <v>1763</v>
      </c>
      <c r="B1766" s="387">
        <v>46163</v>
      </c>
      <c r="C1766" s="388">
        <v>46143</v>
      </c>
      <c r="D1766" s="389" t="s">
        <v>353</v>
      </c>
      <c r="E1766" s="484" t="s">
        <v>587</v>
      </c>
      <c r="F1766" s="491">
        <v>100</v>
      </c>
      <c r="G1766" s="486" t="s">
        <v>2847</v>
      </c>
      <c r="H1766" s="389" t="s">
        <v>280</v>
      </c>
      <c r="I1766" s="394" t="s">
        <v>744</v>
      </c>
      <c r="J1766" s="455">
        <v>7837375000150</v>
      </c>
      <c r="K1766" s="394" t="str">
        <f t="shared" si="90"/>
        <v>XXX737500015XX</v>
      </c>
      <c r="L1766" s="391"/>
      <c r="M1766" s="484" t="s">
        <v>708</v>
      </c>
      <c r="N1766" s="487">
        <v>52026</v>
      </c>
      <c r="O1766" s="487" t="s">
        <v>2533</v>
      </c>
      <c r="P1766" s="398" t="s">
        <v>574</v>
      </c>
    </row>
    <row r="1767" spans="1:16" s="401" customFormat="1" ht="36">
      <c r="A1767" s="429">
        <f t="shared" si="93"/>
        <v>1764</v>
      </c>
      <c r="B1767" s="387">
        <v>46163</v>
      </c>
      <c r="C1767" s="388">
        <v>46113</v>
      </c>
      <c r="D1767" s="389" t="s">
        <v>248</v>
      </c>
      <c r="E1767" s="484" t="s">
        <v>609</v>
      </c>
      <c r="F1767" s="491">
        <v>65.16</v>
      </c>
      <c r="G1767" s="486" t="s">
        <v>2848</v>
      </c>
      <c r="H1767" s="389" t="s">
        <v>278</v>
      </c>
      <c r="I1767" s="484" t="s">
        <v>680</v>
      </c>
      <c r="J1767" s="487" t="s">
        <v>751</v>
      </c>
      <c r="K1767" s="394" t="str">
        <f t="shared" si="90"/>
        <v>XXX283160001XX</v>
      </c>
      <c r="L1767" s="391"/>
      <c r="M1767" s="484" t="s">
        <v>704</v>
      </c>
      <c r="N1767" s="487">
        <v>2519884</v>
      </c>
      <c r="O1767" s="487" t="s">
        <v>2107</v>
      </c>
      <c r="P1767" s="398" t="s">
        <v>574</v>
      </c>
    </row>
    <row r="1768" spans="1:16" s="401" customFormat="1" ht="36">
      <c r="A1768" s="429">
        <f t="shared" si="93"/>
        <v>1765</v>
      </c>
      <c r="B1768" s="387">
        <v>46163</v>
      </c>
      <c r="C1768" s="388">
        <v>46143</v>
      </c>
      <c r="D1768" s="389" t="s">
        <v>248</v>
      </c>
      <c r="E1768" s="484" t="s">
        <v>607</v>
      </c>
      <c r="F1768" s="491">
        <v>76.06</v>
      </c>
      <c r="G1768" s="486" t="s">
        <v>2849</v>
      </c>
      <c r="H1768" s="389" t="s">
        <v>736</v>
      </c>
      <c r="I1768" s="398" t="s">
        <v>2953</v>
      </c>
      <c r="J1768" s="399" t="s">
        <v>2954</v>
      </c>
      <c r="K1768" s="394" t="str">
        <f t="shared" si="90"/>
        <v>26.068.130/0003-11</v>
      </c>
      <c r="L1768" s="391"/>
      <c r="M1768" s="484" t="s">
        <v>710</v>
      </c>
      <c r="N1768" s="487">
        <v>111288</v>
      </c>
      <c r="O1768" s="487" t="s">
        <v>2539</v>
      </c>
      <c r="P1768" s="391" t="s">
        <v>2525</v>
      </c>
    </row>
    <row r="1769" spans="1:16" s="401" customFormat="1" ht="36">
      <c r="A1769" s="429">
        <f t="shared" si="93"/>
        <v>1766</v>
      </c>
      <c r="B1769" s="387">
        <v>46163</v>
      </c>
      <c r="C1769" s="388">
        <v>46143</v>
      </c>
      <c r="D1769" s="389" t="s">
        <v>248</v>
      </c>
      <c r="E1769" s="484" t="s">
        <v>597</v>
      </c>
      <c r="F1769" s="491">
        <v>22.97</v>
      </c>
      <c r="G1769" s="486" t="s">
        <v>2850</v>
      </c>
      <c r="H1769" s="392" t="s">
        <v>278</v>
      </c>
      <c r="I1769" s="398" t="s">
        <v>2955</v>
      </c>
      <c r="J1769" s="399" t="s">
        <v>2956</v>
      </c>
      <c r="K1769" s="394" t="str">
        <f t="shared" si="90"/>
        <v>01.928.075/0016-86</v>
      </c>
      <c r="L1769" s="391"/>
      <c r="M1769" s="484" t="s">
        <v>710</v>
      </c>
      <c r="N1769" s="487">
        <v>249283</v>
      </c>
      <c r="O1769" s="487" t="s">
        <v>2539</v>
      </c>
      <c r="P1769" s="391" t="s">
        <v>2525</v>
      </c>
    </row>
    <row r="1770" spans="1:16" s="401" customFormat="1" ht="36">
      <c r="A1770" s="429">
        <f t="shared" si="93"/>
        <v>1767</v>
      </c>
      <c r="B1770" s="387">
        <v>46164</v>
      </c>
      <c r="C1770" s="388">
        <v>46143</v>
      </c>
      <c r="D1770" s="389" t="s">
        <v>248</v>
      </c>
      <c r="E1770" s="60" t="s">
        <v>78</v>
      </c>
      <c r="F1770" s="491">
        <v>100</v>
      </c>
      <c r="G1770" s="486" t="s">
        <v>2851</v>
      </c>
      <c r="H1770" s="389" t="s">
        <v>736</v>
      </c>
      <c r="I1770" s="484" t="s">
        <v>2634</v>
      </c>
      <c r="J1770" s="487" t="s">
        <v>2635</v>
      </c>
      <c r="K1770" s="394" t="str">
        <f t="shared" si="90"/>
        <v>XXX152400001XX</v>
      </c>
      <c r="L1770" s="391"/>
      <c r="M1770" s="484" t="s">
        <v>708</v>
      </c>
      <c r="N1770" s="487">
        <v>60</v>
      </c>
      <c r="O1770" s="487" t="s">
        <v>2531</v>
      </c>
      <c r="P1770" s="398" t="s">
        <v>574</v>
      </c>
    </row>
    <row r="1771" spans="1:16" s="401" customFormat="1" ht="48">
      <c r="A1771" s="429">
        <f t="shared" si="93"/>
        <v>1768</v>
      </c>
      <c r="B1771" s="387">
        <v>46164</v>
      </c>
      <c r="C1771" s="388">
        <v>46143</v>
      </c>
      <c r="D1771" s="389" t="s">
        <v>248</v>
      </c>
      <c r="E1771" s="60" t="s">
        <v>78</v>
      </c>
      <c r="F1771" s="491">
        <v>1545.6</v>
      </c>
      <c r="G1771" s="486" t="s">
        <v>2852</v>
      </c>
      <c r="H1771" s="389" t="s">
        <v>736</v>
      </c>
      <c r="I1771" s="484" t="s">
        <v>1121</v>
      </c>
      <c r="J1771" s="487" t="s">
        <v>1122</v>
      </c>
      <c r="K1771" s="394" t="str">
        <f t="shared" si="90"/>
        <v>XXX885700001XX</v>
      </c>
      <c r="L1771" s="391"/>
      <c r="M1771" s="484" t="s">
        <v>707</v>
      </c>
      <c r="N1771" s="487">
        <v>246</v>
      </c>
      <c r="O1771" s="487" t="s">
        <v>2531</v>
      </c>
      <c r="P1771" s="398" t="s">
        <v>868</v>
      </c>
    </row>
    <row r="1772" spans="1:16" s="401" customFormat="1" ht="84">
      <c r="A1772" s="429">
        <f t="shared" si="93"/>
        <v>1769</v>
      </c>
      <c r="B1772" s="387">
        <v>46164</v>
      </c>
      <c r="C1772" s="388">
        <v>46143</v>
      </c>
      <c r="D1772" s="389" t="s">
        <v>248</v>
      </c>
      <c r="E1772" s="484" t="s">
        <v>2675</v>
      </c>
      <c r="F1772" s="491">
        <v>6028.75</v>
      </c>
      <c r="G1772" s="486" t="s">
        <v>2853</v>
      </c>
      <c r="H1772" s="389" t="s">
        <v>736</v>
      </c>
      <c r="I1772" s="484" t="s">
        <v>2636</v>
      </c>
      <c r="J1772" s="487" t="s">
        <v>2637</v>
      </c>
      <c r="K1772" s="390" t="str">
        <f t="shared" si="90"/>
        <v>XXX144960001XX</v>
      </c>
      <c r="L1772" s="403"/>
      <c r="M1772" s="484" t="s">
        <v>708</v>
      </c>
      <c r="N1772" s="487">
        <v>14</v>
      </c>
      <c r="O1772" s="487" t="s">
        <v>2532</v>
      </c>
      <c r="P1772" s="398" t="s">
        <v>574</v>
      </c>
    </row>
    <row r="1773" spans="1:16" s="401" customFormat="1" ht="36">
      <c r="A1773" s="429">
        <f t="shared" si="93"/>
        <v>1770</v>
      </c>
      <c r="B1773" s="387">
        <v>46164</v>
      </c>
      <c r="C1773" s="388">
        <v>46143</v>
      </c>
      <c r="D1773" s="389" t="s">
        <v>248</v>
      </c>
      <c r="E1773" s="60" t="s">
        <v>462</v>
      </c>
      <c r="F1773" s="491">
        <v>800</v>
      </c>
      <c r="G1773" s="486" t="s">
        <v>2854</v>
      </c>
      <c r="H1773" s="389" t="s">
        <v>737</v>
      </c>
      <c r="I1773" s="484" t="s">
        <v>2638</v>
      </c>
      <c r="J1773" s="487" t="s">
        <v>2639</v>
      </c>
      <c r="K1773" s="394" t="str">
        <f t="shared" si="90"/>
        <v>XXX294220001XX</v>
      </c>
      <c r="L1773" s="391"/>
      <c r="M1773" s="484" t="s">
        <v>708</v>
      </c>
      <c r="N1773" s="487">
        <v>72</v>
      </c>
      <c r="O1773" s="487" t="s">
        <v>2532</v>
      </c>
      <c r="P1773" s="398" t="s">
        <v>574</v>
      </c>
    </row>
    <row r="1774" spans="1:16" s="401" customFormat="1" ht="36">
      <c r="A1774" s="429">
        <f t="shared" si="93"/>
        <v>1771</v>
      </c>
      <c r="B1774" s="387">
        <v>46164</v>
      </c>
      <c r="C1774" s="388">
        <v>46143</v>
      </c>
      <c r="D1774" s="389" t="s">
        <v>248</v>
      </c>
      <c r="E1774" s="484" t="s">
        <v>1219</v>
      </c>
      <c r="F1774" s="491">
        <v>5848.02</v>
      </c>
      <c r="G1774" s="486" t="s">
        <v>2855</v>
      </c>
      <c r="H1774" s="389" t="s">
        <v>736</v>
      </c>
      <c r="I1774" s="484" t="s">
        <v>2640</v>
      </c>
      <c r="J1774" s="487" t="s">
        <v>2641</v>
      </c>
      <c r="K1774" s="394" t="str">
        <f t="shared" si="90"/>
        <v>XXX676090001XX</v>
      </c>
      <c r="L1774" s="391"/>
      <c r="M1774" s="484" t="s">
        <v>707</v>
      </c>
      <c r="N1774" s="487">
        <v>24</v>
      </c>
      <c r="O1774" s="487" t="s">
        <v>2532</v>
      </c>
      <c r="P1774" s="398" t="s">
        <v>868</v>
      </c>
    </row>
    <row r="1775" spans="1:16" ht="60">
      <c r="A1775" s="429">
        <f t="shared" si="93"/>
        <v>1772</v>
      </c>
      <c r="B1775" s="387">
        <v>46164</v>
      </c>
      <c r="C1775" s="388">
        <v>46143</v>
      </c>
      <c r="D1775" s="389" t="s">
        <v>248</v>
      </c>
      <c r="E1775" s="60" t="s">
        <v>78</v>
      </c>
      <c r="F1775" s="491">
        <v>5885.46</v>
      </c>
      <c r="G1775" s="486" t="s">
        <v>2284</v>
      </c>
      <c r="H1775" s="453" t="s">
        <v>736</v>
      </c>
      <c r="I1775" s="484" t="s">
        <v>2137</v>
      </c>
      <c r="J1775" s="487" t="s">
        <v>2138</v>
      </c>
      <c r="K1775" s="394" t="str">
        <f t="shared" ref="K1775:K1833" si="94">IF(J1775="","",IF(LEN(J1775)&gt;14,IF(ISBLANK(J1775),"",J1775),REPLACE(REPLACE(J1775,1,3,"XXX"),13,2,"XX")))</f>
        <v>XXX136960001XX</v>
      </c>
      <c r="L1775" s="392"/>
      <c r="M1775" s="484" t="s">
        <v>707</v>
      </c>
      <c r="N1775" s="487">
        <v>17</v>
      </c>
      <c r="O1775" s="487" t="s">
        <v>2532</v>
      </c>
      <c r="P1775" s="398" t="s">
        <v>868</v>
      </c>
    </row>
    <row r="1776" spans="1:16" s="401" customFormat="1" ht="36">
      <c r="A1776" s="429">
        <f t="shared" si="93"/>
        <v>1773</v>
      </c>
      <c r="B1776" s="387">
        <v>46164</v>
      </c>
      <c r="C1776" s="388">
        <v>46143</v>
      </c>
      <c r="D1776" s="389" t="s">
        <v>248</v>
      </c>
      <c r="E1776" s="484" t="s">
        <v>1551</v>
      </c>
      <c r="F1776" s="491">
        <v>1016</v>
      </c>
      <c r="G1776" s="486" t="s">
        <v>2856</v>
      </c>
      <c r="H1776" s="389" t="s">
        <v>737</v>
      </c>
      <c r="I1776" s="484" t="s">
        <v>2211</v>
      </c>
      <c r="J1776" s="487" t="s">
        <v>2212</v>
      </c>
      <c r="K1776" s="394" t="str">
        <f t="shared" si="94"/>
        <v>XXX280750001XX</v>
      </c>
      <c r="L1776" s="454"/>
      <c r="M1776" s="484" t="s">
        <v>719</v>
      </c>
      <c r="N1776" s="487">
        <v>117</v>
      </c>
      <c r="O1776" s="487" t="s">
        <v>2534</v>
      </c>
      <c r="P1776" s="398" t="s">
        <v>868</v>
      </c>
    </row>
    <row r="1777" spans="1:16" s="401" customFormat="1" ht="36">
      <c r="A1777" s="429">
        <f t="shared" si="93"/>
        <v>1774</v>
      </c>
      <c r="B1777" s="387">
        <v>46164</v>
      </c>
      <c r="C1777" s="388">
        <v>46143</v>
      </c>
      <c r="D1777" s="389" t="s">
        <v>248</v>
      </c>
      <c r="E1777" s="484" t="s">
        <v>606</v>
      </c>
      <c r="F1777" s="491">
        <v>4091.43</v>
      </c>
      <c r="G1777" s="486" t="s">
        <v>2857</v>
      </c>
      <c r="H1777" s="389" t="s">
        <v>737</v>
      </c>
      <c r="I1777" s="484" t="s">
        <v>1119</v>
      </c>
      <c r="J1777" s="487" t="s">
        <v>1120</v>
      </c>
      <c r="K1777" s="394" t="str">
        <f t="shared" si="94"/>
        <v>XXX07677660 XX</v>
      </c>
      <c r="L1777" s="403"/>
      <c r="M1777" s="484" t="s">
        <v>719</v>
      </c>
      <c r="N1777" s="487">
        <v>179</v>
      </c>
      <c r="O1777" s="487" t="s">
        <v>2534</v>
      </c>
      <c r="P1777" s="398" t="s">
        <v>868</v>
      </c>
    </row>
    <row r="1778" spans="1:16" s="401" customFormat="1" ht="36">
      <c r="A1778" s="429">
        <f t="shared" si="93"/>
        <v>1775</v>
      </c>
      <c r="B1778" s="387">
        <v>46164</v>
      </c>
      <c r="C1778" s="388">
        <v>46143</v>
      </c>
      <c r="D1778" s="389" t="s">
        <v>248</v>
      </c>
      <c r="E1778" s="484" t="s">
        <v>1551</v>
      </c>
      <c r="F1778" s="491">
        <v>1016</v>
      </c>
      <c r="G1778" s="486" t="s">
        <v>2858</v>
      </c>
      <c r="H1778" s="389" t="s">
        <v>737</v>
      </c>
      <c r="I1778" s="484" t="s">
        <v>1477</v>
      </c>
      <c r="J1778" s="487" t="s">
        <v>1478</v>
      </c>
      <c r="K1778" s="394" t="str">
        <f t="shared" si="94"/>
        <v>XXX780570001XX</v>
      </c>
      <c r="L1778" s="403"/>
      <c r="M1778" s="484" t="s">
        <v>719</v>
      </c>
      <c r="N1778" s="487">
        <v>64</v>
      </c>
      <c r="O1778" s="487" t="s">
        <v>2533</v>
      </c>
      <c r="P1778" s="398" t="s">
        <v>868</v>
      </c>
    </row>
    <row r="1779" spans="1:16" s="401" customFormat="1" ht="72">
      <c r="A1779" s="429">
        <f t="shared" si="93"/>
        <v>1776</v>
      </c>
      <c r="B1779" s="387">
        <v>46164</v>
      </c>
      <c r="C1779" s="388">
        <v>46143</v>
      </c>
      <c r="D1779" s="389" t="s">
        <v>248</v>
      </c>
      <c r="E1779" s="484" t="s">
        <v>1550</v>
      </c>
      <c r="F1779" s="491">
        <v>334.88</v>
      </c>
      <c r="G1779" s="486" t="s">
        <v>2859</v>
      </c>
      <c r="H1779" s="389" t="s">
        <v>736</v>
      </c>
      <c r="I1779" s="484" t="s">
        <v>686</v>
      </c>
      <c r="J1779" s="487" t="s">
        <v>687</v>
      </c>
      <c r="K1779" s="394" t="str">
        <f t="shared" si="94"/>
        <v>XXX900500001XX</v>
      </c>
      <c r="L1779" s="403"/>
      <c r="M1779" s="484" t="s">
        <v>719</v>
      </c>
      <c r="N1779" s="487">
        <v>7492</v>
      </c>
      <c r="O1779" s="487" t="s">
        <v>2533</v>
      </c>
      <c r="P1779" s="398" t="s">
        <v>868</v>
      </c>
    </row>
    <row r="1780" spans="1:16" s="401" customFormat="1" ht="60">
      <c r="A1780" s="429">
        <f t="shared" si="93"/>
        <v>1777</v>
      </c>
      <c r="B1780" s="387">
        <v>46164</v>
      </c>
      <c r="C1780" s="388">
        <v>46143</v>
      </c>
      <c r="D1780" s="389" t="s">
        <v>248</v>
      </c>
      <c r="E1780" s="484" t="s">
        <v>607</v>
      </c>
      <c r="F1780" s="491">
        <v>3600</v>
      </c>
      <c r="G1780" s="486" t="s">
        <v>2860</v>
      </c>
      <c r="H1780" s="389" t="s">
        <v>736</v>
      </c>
      <c r="I1780" s="484" t="s">
        <v>2642</v>
      </c>
      <c r="J1780" s="487" t="s">
        <v>2643</v>
      </c>
      <c r="K1780" s="394" t="str">
        <f t="shared" si="94"/>
        <v>XXX821120001XX</v>
      </c>
      <c r="L1780" s="403"/>
      <c r="M1780" s="484" t="s">
        <v>707</v>
      </c>
      <c r="N1780" s="487">
        <v>4568</v>
      </c>
      <c r="O1780" s="487" t="s">
        <v>2534</v>
      </c>
      <c r="P1780" s="398" t="s">
        <v>868</v>
      </c>
    </row>
    <row r="1781" spans="1:16" s="401" customFormat="1" ht="60">
      <c r="A1781" s="429">
        <f t="shared" si="93"/>
        <v>1778</v>
      </c>
      <c r="B1781" s="387">
        <v>46164</v>
      </c>
      <c r="C1781" s="388">
        <v>46143</v>
      </c>
      <c r="D1781" s="389" t="s">
        <v>248</v>
      </c>
      <c r="E1781" s="484" t="s">
        <v>606</v>
      </c>
      <c r="F1781" s="491">
        <v>3000</v>
      </c>
      <c r="G1781" s="486" t="s">
        <v>2861</v>
      </c>
      <c r="H1781" s="389" t="s">
        <v>737</v>
      </c>
      <c r="I1781" s="484" t="s">
        <v>1159</v>
      </c>
      <c r="J1781" s="487" t="s">
        <v>1160</v>
      </c>
      <c r="K1781" s="394" t="str">
        <f t="shared" si="94"/>
        <v>XXX287000001XX</v>
      </c>
      <c r="L1781" s="403"/>
      <c r="M1781" s="484" t="s">
        <v>707</v>
      </c>
      <c r="N1781" s="487">
        <v>12</v>
      </c>
      <c r="O1781" s="487" t="s">
        <v>2535</v>
      </c>
      <c r="P1781" s="398" t="s">
        <v>868</v>
      </c>
    </row>
    <row r="1782" spans="1:16" s="401" customFormat="1" ht="36">
      <c r="A1782" s="429">
        <f t="shared" si="93"/>
        <v>1779</v>
      </c>
      <c r="B1782" s="387">
        <v>46164</v>
      </c>
      <c r="C1782" s="388">
        <v>46143</v>
      </c>
      <c r="D1782" s="389" t="s">
        <v>248</v>
      </c>
      <c r="E1782" s="484" t="s">
        <v>601</v>
      </c>
      <c r="F1782" s="491">
        <v>10924.05</v>
      </c>
      <c r="G1782" s="486" t="s">
        <v>2862</v>
      </c>
      <c r="H1782" s="389" t="s">
        <v>278</v>
      </c>
      <c r="I1782" s="484" t="s">
        <v>643</v>
      </c>
      <c r="J1782" s="487" t="s">
        <v>644</v>
      </c>
      <c r="K1782" s="394" t="str">
        <f t="shared" si="94"/>
        <v>XXX156600001XX</v>
      </c>
      <c r="L1782" s="403"/>
      <c r="M1782" s="484" t="s">
        <v>719</v>
      </c>
      <c r="N1782" s="487">
        <v>244</v>
      </c>
      <c r="O1782" s="487" t="s">
        <v>2535</v>
      </c>
      <c r="P1782" s="398" t="s">
        <v>868</v>
      </c>
    </row>
    <row r="1783" spans="1:16" s="401" customFormat="1" ht="36">
      <c r="A1783" s="429">
        <f t="shared" si="93"/>
        <v>1780</v>
      </c>
      <c r="B1783" s="387">
        <v>46164</v>
      </c>
      <c r="C1783" s="388">
        <v>46143</v>
      </c>
      <c r="D1783" s="389" t="s">
        <v>248</v>
      </c>
      <c r="E1783" s="484" t="s">
        <v>1215</v>
      </c>
      <c r="F1783" s="491">
        <v>902</v>
      </c>
      <c r="G1783" s="486" t="s">
        <v>1319</v>
      </c>
      <c r="H1783" s="389" t="s">
        <v>278</v>
      </c>
      <c r="I1783" s="484" t="s">
        <v>2644</v>
      </c>
      <c r="J1783" s="487" t="s">
        <v>2645</v>
      </c>
      <c r="K1783" s="394" t="str">
        <f t="shared" si="94"/>
        <v>XXX84162696 XX</v>
      </c>
      <c r="L1783" s="403"/>
      <c r="M1783" s="484" t="s">
        <v>708</v>
      </c>
      <c r="N1783" s="487">
        <v>75831</v>
      </c>
      <c r="O1783" s="487" t="s">
        <v>2536</v>
      </c>
      <c r="P1783" s="398" t="s">
        <v>574</v>
      </c>
    </row>
    <row r="1784" spans="1:16" s="401" customFormat="1" ht="72">
      <c r="A1784" s="429">
        <f t="shared" si="93"/>
        <v>1781</v>
      </c>
      <c r="B1784" s="387">
        <v>46164</v>
      </c>
      <c r="C1784" s="388">
        <v>46143</v>
      </c>
      <c r="D1784" s="389" t="s">
        <v>248</v>
      </c>
      <c r="E1784" s="60" t="s">
        <v>455</v>
      </c>
      <c r="F1784" s="491">
        <v>2267.5</v>
      </c>
      <c r="G1784" s="486" t="s">
        <v>2863</v>
      </c>
      <c r="H1784" s="453" t="s">
        <v>736</v>
      </c>
      <c r="I1784" s="484" t="s">
        <v>2646</v>
      </c>
      <c r="J1784" s="487" t="s">
        <v>2647</v>
      </c>
      <c r="K1784" s="394" t="str">
        <f t="shared" si="94"/>
        <v>XXX985470001XX</v>
      </c>
      <c r="L1784" s="403"/>
      <c r="M1784" s="484" t="s">
        <v>707</v>
      </c>
      <c r="N1784" s="487">
        <v>16</v>
      </c>
      <c r="O1784" s="487" t="s">
        <v>2534</v>
      </c>
      <c r="P1784" s="398" t="s">
        <v>868</v>
      </c>
    </row>
    <row r="1785" spans="1:16" s="401" customFormat="1" ht="108">
      <c r="A1785" s="429">
        <f t="shared" si="93"/>
        <v>1782</v>
      </c>
      <c r="B1785" s="387">
        <v>46164</v>
      </c>
      <c r="C1785" s="388">
        <v>46143</v>
      </c>
      <c r="D1785" s="389" t="s">
        <v>353</v>
      </c>
      <c r="E1785" s="39" t="s">
        <v>153</v>
      </c>
      <c r="F1785" s="491">
        <v>14640</v>
      </c>
      <c r="G1785" s="486" t="s">
        <v>2864</v>
      </c>
      <c r="H1785" s="389" t="s">
        <v>280</v>
      </c>
      <c r="I1785" s="394" t="s">
        <v>744</v>
      </c>
      <c r="J1785" s="455">
        <v>7837375000150</v>
      </c>
      <c r="K1785" s="394" t="str">
        <f t="shared" si="94"/>
        <v>XXX737500015XX</v>
      </c>
      <c r="L1785" s="403"/>
      <c r="M1785" s="484" t="s">
        <v>708</v>
      </c>
      <c r="N1785" s="487">
        <v>14</v>
      </c>
      <c r="O1785" s="487" t="s">
        <v>2539</v>
      </c>
      <c r="P1785" s="398" t="s">
        <v>574</v>
      </c>
    </row>
    <row r="1786" spans="1:16" s="401" customFormat="1" ht="36">
      <c r="A1786" s="429">
        <f t="shared" si="93"/>
        <v>1783</v>
      </c>
      <c r="B1786" s="387">
        <v>46164</v>
      </c>
      <c r="C1786" s="388">
        <v>46143</v>
      </c>
      <c r="D1786" s="389" t="s">
        <v>132</v>
      </c>
      <c r="E1786" s="38" t="s">
        <v>218</v>
      </c>
      <c r="F1786" s="491">
        <v>3372.8</v>
      </c>
      <c r="G1786" s="486" t="s">
        <v>2865</v>
      </c>
      <c r="H1786" s="389" t="s">
        <v>278</v>
      </c>
      <c r="I1786" s="484" t="s">
        <v>795</v>
      </c>
      <c r="J1786" s="487" t="s">
        <v>796</v>
      </c>
      <c r="K1786" s="394" t="str">
        <f t="shared" si="94"/>
        <v>XXX499450001XX</v>
      </c>
      <c r="L1786" s="403"/>
      <c r="M1786" s="484" t="s">
        <v>706</v>
      </c>
      <c r="N1786" s="487">
        <v>2057887464</v>
      </c>
      <c r="O1786" s="487" t="s">
        <v>2534</v>
      </c>
      <c r="P1786" s="398" t="s">
        <v>574</v>
      </c>
    </row>
    <row r="1787" spans="1:16" s="401" customFormat="1" ht="48">
      <c r="A1787" s="429">
        <f t="shared" si="93"/>
        <v>1784</v>
      </c>
      <c r="B1787" s="387">
        <v>46164</v>
      </c>
      <c r="C1787" s="388">
        <v>46143</v>
      </c>
      <c r="D1787" s="389" t="s">
        <v>353</v>
      </c>
      <c r="E1787" s="484" t="s">
        <v>587</v>
      </c>
      <c r="F1787" s="491">
        <v>100</v>
      </c>
      <c r="G1787" s="486" t="s">
        <v>2866</v>
      </c>
      <c r="H1787" s="389" t="s">
        <v>280</v>
      </c>
      <c r="I1787" s="394" t="s">
        <v>744</v>
      </c>
      <c r="J1787" s="455">
        <v>7837375000150</v>
      </c>
      <c r="K1787" s="394" t="str">
        <f t="shared" si="94"/>
        <v>XXX737500015XX</v>
      </c>
      <c r="L1787" s="403"/>
      <c r="M1787" s="484" t="s">
        <v>708</v>
      </c>
      <c r="N1787" s="487">
        <v>52026</v>
      </c>
      <c r="O1787" s="487" t="s">
        <v>2533</v>
      </c>
      <c r="P1787" s="398" t="s">
        <v>574</v>
      </c>
    </row>
    <row r="1788" spans="1:16" s="401" customFormat="1" ht="48">
      <c r="A1788" s="429">
        <f t="shared" si="93"/>
        <v>1785</v>
      </c>
      <c r="B1788" s="387">
        <v>46164</v>
      </c>
      <c r="C1788" s="388">
        <v>46143</v>
      </c>
      <c r="D1788" s="389" t="s">
        <v>353</v>
      </c>
      <c r="E1788" s="484" t="s">
        <v>587</v>
      </c>
      <c r="F1788" s="491">
        <v>100</v>
      </c>
      <c r="G1788" s="486" t="s">
        <v>2867</v>
      </c>
      <c r="H1788" s="389" t="s">
        <v>280</v>
      </c>
      <c r="I1788" s="394" t="s">
        <v>744</v>
      </c>
      <c r="J1788" s="455">
        <v>7837375000150</v>
      </c>
      <c r="K1788" s="394" t="str">
        <f t="shared" si="94"/>
        <v>XXX737500015XX</v>
      </c>
      <c r="L1788" s="403"/>
      <c r="M1788" s="484" t="s">
        <v>708</v>
      </c>
      <c r="N1788" s="487">
        <v>52026</v>
      </c>
      <c r="O1788" s="487" t="s">
        <v>2533</v>
      </c>
      <c r="P1788" s="398" t="s">
        <v>574</v>
      </c>
    </row>
    <row r="1789" spans="1:16" s="401" customFormat="1" ht="36">
      <c r="A1789" s="429">
        <f t="shared" si="93"/>
        <v>1786</v>
      </c>
      <c r="B1789" s="387">
        <v>46164</v>
      </c>
      <c r="C1789" s="388">
        <v>46143</v>
      </c>
      <c r="D1789" s="389" t="s">
        <v>353</v>
      </c>
      <c r="E1789" s="39" t="s">
        <v>334</v>
      </c>
      <c r="F1789" s="491">
        <v>-600</v>
      </c>
      <c r="G1789" s="486" t="s">
        <v>2868</v>
      </c>
      <c r="H1789" s="389" t="s">
        <v>280</v>
      </c>
      <c r="I1789" s="394" t="s">
        <v>744</v>
      </c>
      <c r="J1789" s="455">
        <v>7837375000150</v>
      </c>
      <c r="K1789" s="394" t="str">
        <f t="shared" si="94"/>
        <v>XXX737500015XX</v>
      </c>
      <c r="L1789" s="403"/>
      <c r="M1789" s="484" t="s">
        <v>1207</v>
      </c>
      <c r="N1789" s="487">
        <v>52026</v>
      </c>
      <c r="O1789" s="487" t="s">
        <v>2546</v>
      </c>
      <c r="P1789" s="398" t="s">
        <v>574</v>
      </c>
    </row>
    <row r="1790" spans="1:16" s="401" customFormat="1" ht="48">
      <c r="A1790" s="429">
        <f t="shared" si="93"/>
        <v>1787</v>
      </c>
      <c r="B1790" s="387">
        <v>46164</v>
      </c>
      <c r="C1790" s="388">
        <v>46143</v>
      </c>
      <c r="D1790" s="389" t="s">
        <v>166</v>
      </c>
      <c r="E1790" s="39" t="s">
        <v>231</v>
      </c>
      <c r="F1790" s="491">
        <v>3150</v>
      </c>
      <c r="G1790" s="486" t="s">
        <v>2358</v>
      </c>
      <c r="H1790" s="389" t="s">
        <v>166</v>
      </c>
      <c r="I1790" s="484" t="s">
        <v>2162</v>
      </c>
      <c r="J1790" s="487" t="s">
        <v>2163</v>
      </c>
      <c r="K1790" s="394" t="str">
        <f t="shared" si="94"/>
        <v>XXX76382724 XX</v>
      </c>
      <c r="L1790" s="403"/>
      <c r="M1790" s="484" t="s">
        <v>708</v>
      </c>
      <c r="N1790" s="487">
        <v>76030</v>
      </c>
      <c r="O1790" s="487" t="s">
        <v>2540</v>
      </c>
      <c r="P1790" s="398" t="s">
        <v>574</v>
      </c>
    </row>
    <row r="1791" spans="1:16" s="401" customFormat="1" ht="48">
      <c r="A1791" s="429">
        <f t="shared" si="93"/>
        <v>1788</v>
      </c>
      <c r="B1791" s="387">
        <v>46164</v>
      </c>
      <c r="C1791" s="388">
        <v>46143</v>
      </c>
      <c r="D1791" s="389" t="s">
        <v>166</v>
      </c>
      <c r="E1791" s="39" t="s">
        <v>231</v>
      </c>
      <c r="F1791" s="491">
        <v>1050</v>
      </c>
      <c r="G1791" s="486" t="s">
        <v>2360</v>
      </c>
      <c r="H1791" s="389" t="s">
        <v>166</v>
      </c>
      <c r="I1791" s="484" t="s">
        <v>2164</v>
      </c>
      <c r="J1791" s="487" t="s">
        <v>2165</v>
      </c>
      <c r="K1791" s="394" t="str">
        <f t="shared" si="94"/>
        <v>XXX57805692 XX</v>
      </c>
      <c r="L1791" s="403"/>
      <c r="M1791" s="484" t="s">
        <v>708</v>
      </c>
      <c r="N1791" s="487">
        <v>76031</v>
      </c>
      <c r="O1791" s="487" t="s">
        <v>2540</v>
      </c>
      <c r="P1791" s="398" t="s">
        <v>574</v>
      </c>
    </row>
    <row r="1792" spans="1:16" s="401" customFormat="1" ht="48">
      <c r="A1792" s="429">
        <f t="shared" si="93"/>
        <v>1789</v>
      </c>
      <c r="B1792" s="387">
        <v>46164</v>
      </c>
      <c r="C1792" s="388">
        <v>46143</v>
      </c>
      <c r="D1792" s="389" t="s">
        <v>166</v>
      </c>
      <c r="E1792" s="39" t="s">
        <v>231</v>
      </c>
      <c r="F1792" s="491">
        <v>1200</v>
      </c>
      <c r="G1792" s="486" t="s">
        <v>2358</v>
      </c>
      <c r="H1792" s="389" t="s">
        <v>166</v>
      </c>
      <c r="I1792" s="484" t="s">
        <v>2166</v>
      </c>
      <c r="J1792" s="487" t="s">
        <v>2167</v>
      </c>
      <c r="K1792" s="394" t="str">
        <f t="shared" si="94"/>
        <v>XXX90287607 XX</v>
      </c>
      <c r="L1792" s="403"/>
      <c r="M1792" s="484" t="s">
        <v>708</v>
      </c>
      <c r="N1792" s="487">
        <v>76032</v>
      </c>
      <c r="O1792" s="487" t="s">
        <v>2540</v>
      </c>
      <c r="P1792" s="398" t="s">
        <v>574</v>
      </c>
    </row>
    <row r="1793" spans="1:16" s="401" customFormat="1" ht="48">
      <c r="A1793" s="429">
        <f t="shared" si="93"/>
        <v>1790</v>
      </c>
      <c r="B1793" s="387">
        <v>46164</v>
      </c>
      <c r="C1793" s="388">
        <v>46143</v>
      </c>
      <c r="D1793" s="389" t="s">
        <v>166</v>
      </c>
      <c r="E1793" s="39" t="s">
        <v>231</v>
      </c>
      <c r="F1793" s="491">
        <v>1050</v>
      </c>
      <c r="G1793" s="486" t="s">
        <v>2358</v>
      </c>
      <c r="H1793" s="389" t="s">
        <v>166</v>
      </c>
      <c r="I1793" s="484" t="s">
        <v>2168</v>
      </c>
      <c r="J1793" s="487" t="s">
        <v>2169</v>
      </c>
      <c r="K1793" s="394" t="str">
        <f t="shared" si="94"/>
        <v>XXX14277625 XX</v>
      </c>
      <c r="L1793" s="403"/>
      <c r="M1793" s="484" t="s">
        <v>708</v>
      </c>
      <c r="N1793" s="487">
        <v>76033</v>
      </c>
      <c r="O1793" s="487" t="s">
        <v>2540</v>
      </c>
      <c r="P1793" s="398" t="s">
        <v>574</v>
      </c>
    </row>
    <row r="1794" spans="1:16" s="401" customFormat="1" ht="48">
      <c r="A1794" s="429">
        <f t="shared" si="93"/>
        <v>1791</v>
      </c>
      <c r="B1794" s="387">
        <v>46164</v>
      </c>
      <c r="C1794" s="388">
        <v>46143</v>
      </c>
      <c r="D1794" s="389" t="s">
        <v>166</v>
      </c>
      <c r="E1794" s="39" t="s">
        <v>231</v>
      </c>
      <c r="F1794" s="491">
        <v>900</v>
      </c>
      <c r="G1794" s="486" t="s">
        <v>2361</v>
      </c>
      <c r="H1794" s="389" t="s">
        <v>166</v>
      </c>
      <c r="I1794" s="484" t="s">
        <v>2170</v>
      </c>
      <c r="J1794" s="487" t="s">
        <v>2171</v>
      </c>
      <c r="K1794" s="394" t="str">
        <f t="shared" si="94"/>
        <v>XXX06520641 XX</v>
      </c>
      <c r="L1794" s="403"/>
      <c r="M1794" s="484" t="s">
        <v>708</v>
      </c>
      <c r="N1794" s="487">
        <v>76034</v>
      </c>
      <c r="O1794" s="487" t="s">
        <v>2540</v>
      </c>
      <c r="P1794" s="398" t="s">
        <v>574</v>
      </c>
    </row>
    <row r="1795" spans="1:16" s="401" customFormat="1" ht="48">
      <c r="A1795" s="429">
        <f t="shared" si="93"/>
        <v>1792</v>
      </c>
      <c r="B1795" s="387">
        <v>46164</v>
      </c>
      <c r="C1795" s="388">
        <v>46143</v>
      </c>
      <c r="D1795" s="389" t="s">
        <v>166</v>
      </c>
      <c r="E1795" s="39" t="s">
        <v>231</v>
      </c>
      <c r="F1795" s="491">
        <v>750</v>
      </c>
      <c r="G1795" s="486" t="s">
        <v>2361</v>
      </c>
      <c r="H1795" s="389" t="s">
        <v>166</v>
      </c>
      <c r="I1795" s="484" t="s">
        <v>2172</v>
      </c>
      <c r="J1795" s="487" t="s">
        <v>2173</v>
      </c>
      <c r="K1795" s="394" t="str">
        <f t="shared" si="94"/>
        <v>XXX88417607 XX</v>
      </c>
      <c r="L1795" s="403"/>
      <c r="M1795" s="484" t="s">
        <v>708</v>
      </c>
      <c r="N1795" s="487">
        <v>76035</v>
      </c>
      <c r="O1795" s="487" t="s">
        <v>2540</v>
      </c>
      <c r="P1795" s="398" t="s">
        <v>574</v>
      </c>
    </row>
    <row r="1796" spans="1:16" s="401" customFormat="1" ht="48">
      <c r="A1796" s="429">
        <f t="shared" si="93"/>
        <v>1793</v>
      </c>
      <c r="B1796" s="387">
        <v>46164</v>
      </c>
      <c r="C1796" s="388">
        <v>46143</v>
      </c>
      <c r="D1796" s="389" t="s">
        <v>166</v>
      </c>
      <c r="E1796" s="39" t="s">
        <v>231</v>
      </c>
      <c r="F1796" s="491">
        <v>900</v>
      </c>
      <c r="G1796" s="486" t="s">
        <v>2361</v>
      </c>
      <c r="H1796" s="389" t="s">
        <v>166</v>
      </c>
      <c r="I1796" s="484" t="s">
        <v>2174</v>
      </c>
      <c r="J1796" s="487" t="s">
        <v>2175</v>
      </c>
      <c r="K1796" s="394" t="str">
        <f t="shared" si="94"/>
        <v>XXX67243651 XX</v>
      </c>
      <c r="L1796" s="403"/>
      <c r="M1796" s="484" t="s">
        <v>708</v>
      </c>
      <c r="N1796" s="487">
        <v>76036</v>
      </c>
      <c r="O1796" s="487" t="s">
        <v>2540</v>
      </c>
      <c r="P1796" s="398" t="s">
        <v>574</v>
      </c>
    </row>
    <row r="1797" spans="1:16" s="401" customFormat="1" ht="48">
      <c r="A1797" s="429">
        <f t="shared" si="93"/>
        <v>1794</v>
      </c>
      <c r="B1797" s="387">
        <v>46164</v>
      </c>
      <c r="C1797" s="388">
        <v>46143</v>
      </c>
      <c r="D1797" s="389" t="s">
        <v>166</v>
      </c>
      <c r="E1797" s="39" t="s">
        <v>231</v>
      </c>
      <c r="F1797" s="491">
        <v>1350</v>
      </c>
      <c r="G1797" s="486" t="s">
        <v>2360</v>
      </c>
      <c r="H1797" s="389" t="s">
        <v>166</v>
      </c>
      <c r="I1797" s="484" t="s">
        <v>2176</v>
      </c>
      <c r="J1797" s="487" t="s">
        <v>2177</v>
      </c>
      <c r="K1797" s="394" t="str">
        <f t="shared" si="94"/>
        <v>XXX91712681 XX</v>
      </c>
      <c r="L1797" s="403"/>
      <c r="M1797" s="484" t="s">
        <v>708</v>
      </c>
      <c r="N1797" s="487">
        <v>76037</v>
      </c>
      <c r="O1797" s="487" t="s">
        <v>2540</v>
      </c>
      <c r="P1797" s="398" t="s">
        <v>574</v>
      </c>
    </row>
    <row r="1798" spans="1:16" s="401" customFormat="1" ht="48">
      <c r="A1798" s="429">
        <f t="shared" si="93"/>
        <v>1795</v>
      </c>
      <c r="B1798" s="387">
        <v>46164</v>
      </c>
      <c r="C1798" s="388">
        <v>46143</v>
      </c>
      <c r="D1798" s="389" t="s">
        <v>166</v>
      </c>
      <c r="E1798" s="39" t="s">
        <v>231</v>
      </c>
      <c r="F1798" s="491">
        <v>1500</v>
      </c>
      <c r="G1798" s="486" t="s">
        <v>2358</v>
      </c>
      <c r="H1798" s="389" t="s">
        <v>166</v>
      </c>
      <c r="I1798" s="484" t="s">
        <v>2178</v>
      </c>
      <c r="J1798" s="487" t="s">
        <v>2179</v>
      </c>
      <c r="K1798" s="394" t="str">
        <f t="shared" si="94"/>
        <v>XXX76618630 XX</v>
      </c>
      <c r="L1798" s="403"/>
      <c r="M1798" s="484" t="s">
        <v>708</v>
      </c>
      <c r="N1798" s="487">
        <v>76038</v>
      </c>
      <c r="O1798" s="487" t="s">
        <v>2540</v>
      </c>
      <c r="P1798" s="398" t="s">
        <v>574</v>
      </c>
    </row>
    <row r="1799" spans="1:16" s="401" customFormat="1" ht="48">
      <c r="A1799" s="429">
        <f t="shared" si="93"/>
        <v>1796</v>
      </c>
      <c r="B1799" s="387">
        <v>46164</v>
      </c>
      <c r="C1799" s="388">
        <v>46143</v>
      </c>
      <c r="D1799" s="389" t="s">
        <v>166</v>
      </c>
      <c r="E1799" s="39" t="s">
        <v>231</v>
      </c>
      <c r="F1799" s="491">
        <v>1050</v>
      </c>
      <c r="G1799" s="486" t="s">
        <v>2360</v>
      </c>
      <c r="H1799" s="389" t="s">
        <v>166</v>
      </c>
      <c r="I1799" s="484" t="s">
        <v>2180</v>
      </c>
      <c r="J1799" s="487" t="s">
        <v>2181</v>
      </c>
      <c r="K1799" s="394" t="str">
        <f t="shared" si="94"/>
        <v>XXX10316665 XX</v>
      </c>
      <c r="L1799" s="403"/>
      <c r="M1799" s="484" t="s">
        <v>708</v>
      </c>
      <c r="N1799" s="487">
        <v>76039</v>
      </c>
      <c r="O1799" s="487" t="s">
        <v>2540</v>
      </c>
      <c r="P1799" s="398" t="s">
        <v>574</v>
      </c>
    </row>
    <row r="1800" spans="1:16" s="401" customFormat="1" ht="48">
      <c r="A1800" s="429">
        <f t="shared" si="93"/>
        <v>1797</v>
      </c>
      <c r="B1800" s="387">
        <v>46164</v>
      </c>
      <c r="C1800" s="388">
        <v>46143</v>
      </c>
      <c r="D1800" s="389" t="s">
        <v>166</v>
      </c>
      <c r="E1800" s="39" t="s">
        <v>231</v>
      </c>
      <c r="F1800" s="491">
        <v>1200</v>
      </c>
      <c r="G1800" s="486" t="s">
        <v>2362</v>
      </c>
      <c r="H1800" s="389" t="s">
        <v>166</v>
      </c>
      <c r="I1800" s="484" t="s">
        <v>2182</v>
      </c>
      <c r="J1800" s="487" t="s">
        <v>2183</v>
      </c>
      <c r="K1800" s="394" t="str">
        <f t="shared" si="94"/>
        <v>XXX90955661 XX</v>
      </c>
      <c r="L1800" s="403"/>
      <c r="M1800" s="484" t="s">
        <v>708</v>
      </c>
      <c r="N1800" s="487">
        <v>76040</v>
      </c>
      <c r="O1800" s="487" t="s">
        <v>2540</v>
      </c>
      <c r="P1800" s="398" t="s">
        <v>574</v>
      </c>
    </row>
    <row r="1801" spans="1:16" s="401" customFormat="1" ht="48">
      <c r="A1801" s="429">
        <f t="shared" si="93"/>
        <v>1798</v>
      </c>
      <c r="B1801" s="387">
        <v>46164</v>
      </c>
      <c r="C1801" s="388">
        <v>46143</v>
      </c>
      <c r="D1801" s="389" t="s">
        <v>166</v>
      </c>
      <c r="E1801" s="39" t="s">
        <v>231</v>
      </c>
      <c r="F1801" s="491">
        <v>900</v>
      </c>
      <c r="G1801" s="486" t="s">
        <v>2361</v>
      </c>
      <c r="H1801" s="389" t="s">
        <v>166</v>
      </c>
      <c r="I1801" s="484" t="s">
        <v>2184</v>
      </c>
      <c r="J1801" s="487" t="s">
        <v>2185</v>
      </c>
      <c r="K1801" s="394" t="str">
        <f t="shared" si="94"/>
        <v>XXX66650680 XX</v>
      </c>
      <c r="L1801" s="403"/>
      <c r="M1801" s="484" t="s">
        <v>708</v>
      </c>
      <c r="N1801" s="487">
        <v>76041</v>
      </c>
      <c r="O1801" s="487" t="s">
        <v>2540</v>
      </c>
      <c r="P1801" s="398" t="s">
        <v>574</v>
      </c>
    </row>
    <row r="1802" spans="1:16" s="401" customFormat="1" ht="48">
      <c r="A1802" s="429">
        <f t="shared" si="93"/>
        <v>1799</v>
      </c>
      <c r="B1802" s="387">
        <v>46164</v>
      </c>
      <c r="C1802" s="388">
        <v>46143</v>
      </c>
      <c r="D1802" s="389" t="s">
        <v>166</v>
      </c>
      <c r="E1802" s="39" t="s">
        <v>231</v>
      </c>
      <c r="F1802" s="491">
        <v>1050</v>
      </c>
      <c r="G1802" s="486" t="s">
        <v>2360</v>
      </c>
      <c r="H1802" s="389" t="s">
        <v>166</v>
      </c>
      <c r="I1802" s="484" t="s">
        <v>2186</v>
      </c>
      <c r="J1802" s="487" t="s">
        <v>2187</v>
      </c>
      <c r="K1802" s="394" t="str">
        <f t="shared" si="94"/>
        <v>XXX83878632 XX</v>
      </c>
      <c r="L1802" s="403"/>
      <c r="M1802" s="484" t="s">
        <v>708</v>
      </c>
      <c r="N1802" s="487">
        <v>76042</v>
      </c>
      <c r="O1802" s="487" t="s">
        <v>2540</v>
      </c>
      <c r="P1802" s="398" t="s">
        <v>574</v>
      </c>
    </row>
    <row r="1803" spans="1:16" s="401" customFormat="1" ht="48">
      <c r="A1803" s="429">
        <f t="shared" si="93"/>
        <v>1800</v>
      </c>
      <c r="B1803" s="387">
        <v>46164</v>
      </c>
      <c r="C1803" s="388">
        <v>46143</v>
      </c>
      <c r="D1803" s="389" t="s">
        <v>166</v>
      </c>
      <c r="E1803" s="39" t="s">
        <v>231</v>
      </c>
      <c r="F1803" s="491">
        <v>900</v>
      </c>
      <c r="G1803" s="486" t="s">
        <v>2360</v>
      </c>
      <c r="H1803" s="389" t="s">
        <v>166</v>
      </c>
      <c r="I1803" s="484" t="s">
        <v>2188</v>
      </c>
      <c r="J1803" s="487" t="s">
        <v>2189</v>
      </c>
      <c r="K1803" s="394" t="str">
        <f t="shared" si="94"/>
        <v>XXX90354770 XX</v>
      </c>
      <c r="L1803" s="403"/>
      <c r="M1803" s="484" t="s">
        <v>708</v>
      </c>
      <c r="N1803" s="487">
        <v>76043</v>
      </c>
      <c r="O1803" s="487" t="s">
        <v>2540</v>
      </c>
      <c r="P1803" s="398" t="s">
        <v>574</v>
      </c>
    </row>
    <row r="1804" spans="1:16" s="401" customFormat="1" ht="48">
      <c r="A1804" s="429">
        <f t="shared" si="93"/>
        <v>1801</v>
      </c>
      <c r="B1804" s="387">
        <v>46164</v>
      </c>
      <c r="C1804" s="388">
        <v>46143</v>
      </c>
      <c r="D1804" s="389" t="s">
        <v>166</v>
      </c>
      <c r="E1804" s="39" t="s">
        <v>231</v>
      </c>
      <c r="F1804" s="491">
        <v>1800</v>
      </c>
      <c r="G1804" s="486" t="s">
        <v>2361</v>
      </c>
      <c r="H1804" s="389" t="s">
        <v>166</v>
      </c>
      <c r="I1804" s="484" t="s">
        <v>2190</v>
      </c>
      <c r="J1804" s="487" t="s">
        <v>2191</v>
      </c>
      <c r="K1804" s="394" t="str">
        <f t="shared" si="94"/>
        <v>XXX06030690 XX</v>
      </c>
      <c r="L1804" s="403"/>
      <c r="M1804" s="484" t="s">
        <v>708</v>
      </c>
      <c r="N1804" s="487">
        <v>76044</v>
      </c>
      <c r="O1804" s="487" t="s">
        <v>2540</v>
      </c>
      <c r="P1804" s="398" t="s">
        <v>574</v>
      </c>
    </row>
    <row r="1805" spans="1:16" s="401" customFormat="1" ht="84">
      <c r="A1805" s="429">
        <f t="shared" si="93"/>
        <v>1802</v>
      </c>
      <c r="B1805" s="387">
        <v>46164</v>
      </c>
      <c r="C1805" s="388">
        <v>46143</v>
      </c>
      <c r="D1805" s="389" t="s">
        <v>248</v>
      </c>
      <c r="E1805" s="484" t="s">
        <v>598</v>
      </c>
      <c r="F1805" s="491">
        <v>3172</v>
      </c>
      <c r="G1805" s="486" t="s">
        <v>2869</v>
      </c>
      <c r="H1805" s="389" t="s">
        <v>736</v>
      </c>
      <c r="I1805" s="484" t="s">
        <v>2648</v>
      </c>
      <c r="J1805" s="487" t="s">
        <v>2649</v>
      </c>
      <c r="K1805" s="394" t="str">
        <f t="shared" si="94"/>
        <v>XXX866110001XX</v>
      </c>
      <c r="L1805" s="403"/>
      <c r="M1805" s="484" t="s">
        <v>708</v>
      </c>
      <c r="N1805" s="487">
        <v>8</v>
      </c>
      <c r="O1805" s="487" t="s">
        <v>2531</v>
      </c>
      <c r="P1805" s="398" t="s">
        <v>574</v>
      </c>
    </row>
    <row r="1806" spans="1:16" s="401" customFormat="1" ht="48">
      <c r="A1806" s="429">
        <f t="shared" si="93"/>
        <v>1803</v>
      </c>
      <c r="B1806" s="387">
        <v>46164</v>
      </c>
      <c r="C1806" s="388">
        <v>46113</v>
      </c>
      <c r="D1806" s="389" t="s">
        <v>248</v>
      </c>
      <c r="E1806" s="484" t="s">
        <v>1552</v>
      </c>
      <c r="F1806" s="491">
        <v>43366.5</v>
      </c>
      <c r="G1806" s="486" t="s">
        <v>2870</v>
      </c>
      <c r="H1806" s="389" t="s">
        <v>736</v>
      </c>
      <c r="I1806" s="484" t="s">
        <v>2650</v>
      </c>
      <c r="J1806" s="487" t="s">
        <v>2651</v>
      </c>
      <c r="K1806" s="394" t="str">
        <f t="shared" si="94"/>
        <v>XXX866060001XX</v>
      </c>
      <c r="L1806" s="403"/>
      <c r="M1806" s="484" t="s">
        <v>708</v>
      </c>
      <c r="N1806" s="487">
        <v>9</v>
      </c>
      <c r="O1806" s="487" t="s">
        <v>2531</v>
      </c>
      <c r="P1806" s="398" t="s">
        <v>574</v>
      </c>
    </row>
    <row r="1807" spans="1:16" s="401" customFormat="1" ht="72">
      <c r="A1807" s="429">
        <f t="shared" si="93"/>
        <v>1804</v>
      </c>
      <c r="B1807" s="387">
        <v>46164</v>
      </c>
      <c r="C1807" s="388">
        <v>46143</v>
      </c>
      <c r="D1807" s="389" t="s">
        <v>248</v>
      </c>
      <c r="E1807" s="484" t="s">
        <v>1550</v>
      </c>
      <c r="F1807" s="491">
        <v>334.88</v>
      </c>
      <c r="G1807" s="486" t="s">
        <v>2859</v>
      </c>
      <c r="H1807" s="389" t="s">
        <v>736</v>
      </c>
      <c r="I1807" s="484" t="s">
        <v>686</v>
      </c>
      <c r="J1807" s="487" t="s">
        <v>687</v>
      </c>
      <c r="K1807" s="394" t="str">
        <f t="shared" si="94"/>
        <v>XXX900500001XX</v>
      </c>
      <c r="L1807" s="403"/>
      <c r="M1807" s="484" t="s">
        <v>708</v>
      </c>
      <c r="N1807" s="487">
        <v>7493</v>
      </c>
      <c r="O1807" s="487" t="s">
        <v>2533</v>
      </c>
      <c r="P1807" s="398" t="s">
        <v>574</v>
      </c>
    </row>
    <row r="1808" spans="1:16" s="401" customFormat="1" ht="48">
      <c r="A1808" s="429">
        <f t="shared" si="93"/>
        <v>1805</v>
      </c>
      <c r="B1808" s="387">
        <v>46164</v>
      </c>
      <c r="C1808" s="388">
        <v>46143</v>
      </c>
      <c r="D1808" s="389" t="s">
        <v>248</v>
      </c>
      <c r="E1808" s="484" t="s">
        <v>597</v>
      </c>
      <c r="F1808" s="491">
        <v>605.15</v>
      </c>
      <c r="G1808" s="486" t="s">
        <v>2871</v>
      </c>
      <c r="H1808" s="453" t="s">
        <v>738</v>
      </c>
      <c r="I1808" s="484" t="s">
        <v>2652</v>
      </c>
      <c r="J1808" s="487" t="s">
        <v>2653</v>
      </c>
      <c r="K1808" s="394" t="str">
        <f t="shared" si="94"/>
        <v>XXX320550001XX</v>
      </c>
      <c r="L1808" s="403"/>
      <c r="M1808" s="484" t="s">
        <v>706</v>
      </c>
      <c r="N1808" s="487">
        <v>2057887472</v>
      </c>
      <c r="O1808" s="487" t="s">
        <v>2540</v>
      </c>
      <c r="P1808" s="398" t="s">
        <v>574</v>
      </c>
    </row>
    <row r="1809" spans="1:16" s="401" customFormat="1" ht="48">
      <c r="A1809" s="429">
        <f t="shared" si="93"/>
        <v>1806</v>
      </c>
      <c r="B1809" s="387">
        <v>46164</v>
      </c>
      <c r="C1809" s="388">
        <v>46143</v>
      </c>
      <c r="D1809" s="389" t="s">
        <v>248</v>
      </c>
      <c r="E1809" s="484" t="s">
        <v>597</v>
      </c>
      <c r="F1809" s="491">
        <v>260</v>
      </c>
      <c r="G1809" s="486" t="s">
        <v>2872</v>
      </c>
      <c r="H1809" s="453" t="s">
        <v>736</v>
      </c>
      <c r="I1809" s="484" t="s">
        <v>1472</v>
      </c>
      <c r="J1809" s="487" t="s">
        <v>1473</v>
      </c>
      <c r="K1809" s="394" t="str">
        <f t="shared" si="94"/>
        <v>XXX735210001XX</v>
      </c>
      <c r="L1809" s="403"/>
      <c r="M1809" s="484" t="s">
        <v>706</v>
      </c>
      <c r="N1809" s="487">
        <v>17445</v>
      </c>
      <c r="O1809" s="487" t="s">
        <v>2540</v>
      </c>
      <c r="P1809" s="398" t="s">
        <v>574</v>
      </c>
    </row>
    <row r="1810" spans="1:16" s="401" customFormat="1" ht="48">
      <c r="A1810" s="429">
        <f t="shared" si="93"/>
        <v>1807</v>
      </c>
      <c r="B1810" s="387">
        <v>46164</v>
      </c>
      <c r="C1810" s="388">
        <v>46143</v>
      </c>
      <c r="D1810" s="389" t="s">
        <v>248</v>
      </c>
      <c r="E1810" s="484" t="s">
        <v>597</v>
      </c>
      <c r="F1810" s="491">
        <v>24.9</v>
      </c>
      <c r="G1810" s="486" t="s">
        <v>2873</v>
      </c>
      <c r="H1810" s="453" t="s">
        <v>278</v>
      </c>
      <c r="I1810" s="484" t="s">
        <v>1472</v>
      </c>
      <c r="J1810" s="487" t="s">
        <v>1473</v>
      </c>
      <c r="K1810" s="394" t="str">
        <f t="shared" si="94"/>
        <v>XXX735210001XX</v>
      </c>
      <c r="L1810" s="403"/>
      <c r="M1810" s="484" t="s">
        <v>706</v>
      </c>
      <c r="N1810" s="487">
        <v>6387</v>
      </c>
      <c r="O1810" s="487" t="s">
        <v>2540</v>
      </c>
      <c r="P1810" s="398" t="s">
        <v>574</v>
      </c>
    </row>
    <row r="1811" spans="1:16" s="401" customFormat="1" ht="36">
      <c r="A1811" s="429">
        <f t="shared" si="93"/>
        <v>1808</v>
      </c>
      <c r="B1811" s="387">
        <v>46164</v>
      </c>
      <c r="C1811" s="388">
        <v>46143</v>
      </c>
      <c r="D1811" s="389" t="s">
        <v>166</v>
      </c>
      <c r="E1811" s="484" t="s">
        <v>581</v>
      </c>
      <c r="F1811" s="491">
        <v>-49</v>
      </c>
      <c r="G1811" s="486" t="s">
        <v>2874</v>
      </c>
      <c r="H1811" s="389" t="s">
        <v>166</v>
      </c>
      <c r="I1811" s="484" t="s">
        <v>1070</v>
      </c>
      <c r="J1811" s="487" t="s">
        <v>1071</v>
      </c>
      <c r="K1811" s="394" t="str">
        <f t="shared" si="94"/>
        <v>XXX97947651 XX</v>
      </c>
      <c r="L1811" s="403"/>
      <c r="M1811" s="484" t="s">
        <v>708</v>
      </c>
      <c r="N1811" s="487">
        <v>52026</v>
      </c>
      <c r="O1811" s="487" t="s">
        <v>2546</v>
      </c>
      <c r="P1811" s="398" t="s">
        <v>574</v>
      </c>
    </row>
    <row r="1812" spans="1:16" s="401" customFormat="1" ht="60">
      <c r="A1812" s="429">
        <f t="shared" si="93"/>
        <v>1809</v>
      </c>
      <c r="B1812" s="387">
        <v>46164</v>
      </c>
      <c r="C1812" s="388">
        <v>46143</v>
      </c>
      <c r="D1812" s="389" t="s">
        <v>248</v>
      </c>
      <c r="E1812" s="484" t="s">
        <v>758</v>
      </c>
      <c r="F1812" s="491">
        <v>9242.7199999999993</v>
      </c>
      <c r="G1812" s="486" t="s">
        <v>2875</v>
      </c>
      <c r="H1812" s="453" t="s">
        <v>738</v>
      </c>
      <c r="I1812" s="484" t="s">
        <v>700</v>
      </c>
      <c r="J1812" s="487" t="s">
        <v>701</v>
      </c>
      <c r="K1812" s="394" t="str">
        <f t="shared" si="94"/>
        <v>XXX759440001XX</v>
      </c>
      <c r="L1812" s="403"/>
      <c r="M1812" s="484" t="s">
        <v>707</v>
      </c>
      <c r="N1812" s="487">
        <v>335</v>
      </c>
      <c r="O1812" s="487" t="s">
        <v>2538</v>
      </c>
      <c r="P1812" s="398" t="s">
        <v>868</v>
      </c>
    </row>
    <row r="1813" spans="1:16" s="401" customFormat="1" ht="60">
      <c r="A1813" s="429">
        <f t="shared" si="93"/>
        <v>1810</v>
      </c>
      <c r="B1813" s="387">
        <v>46164</v>
      </c>
      <c r="C1813" s="388">
        <v>46143</v>
      </c>
      <c r="D1813" s="389" t="s">
        <v>248</v>
      </c>
      <c r="E1813" s="484" t="s">
        <v>1550</v>
      </c>
      <c r="F1813" s="491">
        <v>463.42</v>
      </c>
      <c r="G1813" s="486" t="s">
        <v>2876</v>
      </c>
      <c r="H1813" s="389" t="s">
        <v>736</v>
      </c>
      <c r="I1813" s="484" t="s">
        <v>686</v>
      </c>
      <c r="J1813" s="487" t="s">
        <v>687</v>
      </c>
      <c r="K1813" s="394" t="str">
        <f t="shared" si="94"/>
        <v>XXX900500001XX</v>
      </c>
      <c r="L1813" s="403"/>
      <c r="M1813" s="484" t="s">
        <v>719</v>
      </c>
      <c r="N1813" s="487">
        <v>5593</v>
      </c>
      <c r="O1813" s="487" t="s">
        <v>2534</v>
      </c>
      <c r="P1813" s="398" t="s">
        <v>868</v>
      </c>
    </row>
    <row r="1814" spans="1:16" s="401" customFormat="1" ht="36">
      <c r="A1814" s="429">
        <f t="shared" ref="A1814:A1855" si="95">IF(B1814="","",ROW()-ROW($A$3))</f>
        <v>1811</v>
      </c>
      <c r="B1814" s="387">
        <v>46167</v>
      </c>
      <c r="C1814" s="388">
        <v>46113</v>
      </c>
      <c r="D1814" s="389" t="s">
        <v>248</v>
      </c>
      <c r="E1814" s="484" t="s">
        <v>597</v>
      </c>
      <c r="F1814" s="491">
        <v>1251.5999999999999</v>
      </c>
      <c r="G1814" s="486" t="s">
        <v>2950</v>
      </c>
      <c r="H1814" s="453" t="s">
        <v>278</v>
      </c>
      <c r="I1814" s="484" t="s">
        <v>1419</v>
      </c>
      <c r="J1814" s="487" t="s">
        <v>1420</v>
      </c>
      <c r="K1814" s="394" t="str">
        <f t="shared" si="94"/>
        <v>XXX029410001XX</v>
      </c>
      <c r="L1814" s="403"/>
      <c r="M1814" s="484" t="s">
        <v>704</v>
      </c>
      <c r="N1814" s="487">
        <v>225428</v>
      </c>
      <c r="O1814" s="487" t="s">
        <v>2105</v>
      </c>
      <c r="P1814" s="398" t="s">
        <v>574</v>
      </c>
    </row>
    <row r="1815" spans="1:16" s="401" customFormat="1" ht="36">
      <c r="A1815" s="429">
        <f t="shared" si="95"/>
        <v>1812</v>
      </c>
      <c r="B1815" s="387">
        <v>46167</v>
      </c>
      <c r="C1815" s="388">
        <v>46143</v>
      </c>
      <c r="D1815" s="389" t="s">
        <v>248</v>
      </c>
      <c r="E1815" s="484" t="s">
        <v>1218</v>
      </c>
      <c r="F1815" s="491">
        <v>1754.52</v>
      </c>
      <c r="G1815" s="486" t="s">
        <v>2877</v>
      </c>
      <c r="H1815" s="453" t="s">
        <v>736</v>
      </c>
      <c r="I1815" s="484" t="s">
        <v>1135</v>
      </c>
      <c r="J1815" s="487" t="s">
        <v>1136</v>
      </c>
      <c r="K1815" s="394" t="str">
        <f t="shared" si="94"/>
        <v>XXX749730001XX</v>
      </c>
      <c r="L1815" s="403"/>
      <c r="M1815" s="484" t="s">
        <v>704</v>
      </c>
      <c r="N1815" s="487">
        <v>6660</v>
      </c>
      <c r="O1815" s="487" t="s">
        <v>2531</v>
      </c>
      <c r="P1815" s="398" t="s">
        <v>574</v>
      </c>
    </row>
    <row r="1816" spans="1:16" s="401" customFormat="1" ht="48">
      <c r="A1816" s="429">
        <f t="shared" si="95"/>
        <v>1813</v>
      </c>
      <c r="B1816" s="387">
        <v>46167</v>
      </c>
      <c r="C1816" s="388">
        <v>46143</v>
      </c>
      <c r="D1816" s="389" t="s">
        <v>353</v>
      </c>
      <c r="E1816" s="484" t="s">
        <v>587</v>
      </c>
      <c r="F1816" s="491">
        <v>100</v>
      </c>
      <c r="G1816" s="486" t="s">
        <v>2878</v>
      </c>
      <c r="H1816" s="389" t="s">
        <v>280</v>
      </c>
      <c r="I1816" s="394" t="s">
        <v>744</v>
      </c>
      <c r="J1816" s="455">
        <v>7837375000150</v>
      </c>
      <c r="K1816" s="394" t="str">
        <f t="shared" si="94"/>
        <v>XXX737500015XX</v>
      </c>
      <c r="L1816" s="403"/>
      <c r="M1816" s="484" t="s">
        <v>708</v>
      </c>
      <c r="N1816" s="487">
        <v>52026</v>
      </c>
      <c r="O1816" s="487" t="s">
        <v>2533</v>
      </c>
      <c r="P1816" s="398" t="s">
        <v>574</v>
      </c>
    </row>
    <row r="1817" spans="1:16" s="401" customFormat="1" ht="48">
      <c r="A1817" s="429">
        <f t="shared" si="95"/>
        <v>1814</v>
      </c>
      <c r="B1817" s="387">
        <v>46167</v>
      </c>
      <c r="C1817" s="388">
        <v>46143</v>
      </c>
      <c r="D1817" s="389" t="s">
        <v>353</v>
      </c>
      <c r="E1817" s="484" t="s">
        <v>587</v>
      </c>
      <c r="F1817" s="491">
        <v>100</v>
      </c>
      <c r="G1817" s="486" t="s">
        <v>2879</v>
      </c>
      <c r="H1817" s="389" t="s">
        <v>280</v>
      </c>
      <c r="I1817" s="394" t="s">
        <v>744</v>
      </c>
      <c r="J1817" s="455">
        <v>7837375000150</v>
      </c>
      <c r="K1817" s="394" t="str">
        <f t="shared" si="94"/>
        <v>XXX737500015XX</v>
      </c>
      <c r="L1817" s="403"/>
      <c r="M1817" s="484" t="s">
        <v>708</v>
      </c>
      <c r="N1817" s="487">
        <v>52026</v>
      </c>
      <c r="O1817" s="487" t="s">
        <v>2533</v>
      </c>
      <c r="P1817" s="398" t="s">
        <v>574</v>
      </c>
    </row>
    <row r="1818" spans="1:16" s="401" customFormat="1" ht="48">
      <c r="A1818" s="429">
        <f t="shared" si="95"/>
        <v>1815</v>
      </c>
      <c r="B1818" s="387">
        <v>46167</v>
      </c>
      <c r="C1818" s="388">
        <v>46143</v>
      </c>
      <c r="D1818" s="389" t="s">
        <v>353</v>
      </c>
      <c r="E1818" s="484" t="s">
        <v>587</v>
      </c>
      <c r="F1818" s="491">
        <v>100</v>
      </c>
      <c r="G1818" s="486" t="s">
        <v>2880</v>
      </c>
      <c r="H1818" s="389" t="s">
        <v>280</v>
      </c>
      <c r="I1818" s="394" t="s">
        <v>744</v>
      </c>
      <c r="J1818" s="455">
        <v>7837375000150</v>
      </c>
      <c r="K1818" s="394" t="str">
        <f t="shared" si="94"/>
        <v>XXX737500015XX</v>
      </c>
      <c r="L1818" s="403"/>
      <c r="M1818" s="484" t="s">
        <v>708</v>
      </c>
      <c r="N1818" s="487">
        <v>52026</v>
      </c>
      <c r="O1818" s="487" t="s">
        <v>2533</v>
      </c>
      <c r="P1818" s="398" t="s">
        <v>574</v>
      </c>
    </row>
    <row r="1819" spans="1:16" s="401" customFormat="1" ht="48">
      <c r="A1819" s="429">
        <f t="shared" si="95"/>
        <v>1816</v>
      </c>
      <c r="B1819" s="387">
        <v>46167</v>
      </c>
      <c r="C1819" s="388">
        <v>46143</v>
      </c>
      <c r="D1819" s="389" t="s">
        <v>353</v>
      </c>
      <c r="E1819" s="484" t="s">
        <v>587</v>
      </c>
      <c r="F1819" s="491">
        <v>100</v>
      </c>
      <c r="G1819" s="486" t="s">
        <v>2881</v>
      </c>
      <c r="H1819" s="389" t="s">
        <v>280</v>
      </c>
      <c r="I1819" s="394" t="s">
        <v>744</v>
      </c>
      <c r="J1819" s="455">
        <v>7837375000150</v>
      </c>
      <c r="K1819" s="394" t="str">
        <f t="shared" si="94"/>
        <v>XXX737500015XX</v>
      </c>
      <c r="L1819" s="403"/>
      <c r="M1819" s="484" t="s">
        <v>708</v>
      </c>
      <c r="N1819" s="487">
        <v>52026</v>
      </c>
      <c r="O1819" s="487" t="s">
        <v>2533</v>
      </c>
      <c r="P1819" s="398" t="s">
        <v>574</v>
      </c>
    </row>
    <row r="1820" spans="1:16" s="401" customFormat="1" ht="48">
      <c r="A1820" s="429">
        <f t="shared" si="95"/>
        <v>1817</v>
      </c>
      <c r="B1820" s="387">
        <v>46167</v>
      </c>
      <c r="C1820" s="388">
        <v>46143</v>
      </c>
      <c r="D1820" s="389" t="s">
        <v>353</v>
      </c>
      <c r="E1820" s="484" t="s">
        <v>587</v>
      </c>
      <c r="F1820" s="491">
        <v>100</v>
      </c>
      <c r="G1820" s="486" t="s">
        <v>2882</v>
      </c>
      <c r="H1820" s="389" t="s">
        <v>280</v>
      </c>
      <c r="I1820" s="394" t="s">
        <v>744</v>
      </c>
      <c r="J1820" s="455">
        <v>7837375000150</v>
      </c>
      <c r="K1820" s="394" t="str">
        <f t="shared" si="94"/>
        <v>XXX737500015XX</v>
      </c>
      <c r="L1820" s="403"/>
      <c r="M1820" s="484" t="s">
        <v>708</v>
      </c>
      <c r="N1820" s="487">
        <v>52026</v>
      </c>
      <c r="O1820" s="487" t="s">
        <v>2533</v>
      </c>
      <c r="P1820" s="398" t="s">
        <v>574</v>
      </c>
    </row>
    <row r="1821" spans="1:16" s="401" customFormat="1" ht="48">
      <c r="A1821" s="429">
        <f t="shared" si="95"/>
        <v>1818</v>
      </c>
      <c r="B1821" s="387">
        <v>46167</v>
      </c>
      <c r="C1821" s="388">
        <v>46143</v>
      </c>
      <c r="D1821" s="389" t="s">
        <v>353</v>
      </c>
      <c r="E1821" s="484" t="s">
        <v>587</v>
      </c>
      <c r="F1821" s="491">
        <v>100</v>
      </c>
      <c r="G1821" s="486" t="s">
        <v>2883</v>
      </c>
      <c r="H1821" s="389" t="s">
        <v>280</v>
      </c>
      <c r="I1821" s="394" t="s">
        <v>744</v>
      </c>
      <c r="J1821" s="455">
        <v>7837375000150</v>
      </c>
      <c r="K1821" s="394" t="str">
        <f t="shared" si="94"/>
        <v>XXX737500015XX</v>
      </c>
      <c r="L1821" s="403"/>
      <c r="M1821" s="484" t="s">
        <v>708</v>
      </c>
      <c r="N1821" s="487">
        <v>52026</v>
      </c>
      <c r="O1821" s="487" t="s">
        <v>2533</v>
      </c>
      <c r="P1821" s="398" t="s">
        <v>574</v>
      </c>
    </row>
    <row r="1822" spans="1:16" s="401" customFormat="1" ht="48">
      <c r="A1822" s="429">
        <f t="shared" si="95"/>
        <v>1819</v>
      </c>
      <c r="B1822" s="387">
        <v>46167</v>
      </c>
      <c r="C1822" s="388">
        <v>46143</v>
      </c>
      <c r="D1822" s="389" t="s">
        <v>353</v>
      </c>
      <c r="E1822" s="484" t="s">
        <v>587</v>
      </c>
      <c r="F1822" s="491">
        <v>100</v>
      </c>
      <c r="G1822" s="486" t="s">
        <v>2884</v>
      </c>
      <c r="H1822" s="389" t="s">
        <v>280</v>
      </c>
      <c r="I1822" s="394" t="s">
        <v>744</v>
      </c>
      <c r="J1822" s="455">
        <v>7837375000150</v>
      </c>
      <c r="K1822" s="394" t="str">
        <f t="shared" si="94"/>
        <v>XXX737500015XX</v>
      </c>
      <c r="L1822" s="403"/>
      <c r="M1822" s="484" t="s">
        <v>708</v>
      </c>
      <c r="N1822" s="487">
        <v>52026</v>
      </c>
      <c r="O1822" s="487" t="s">
        <v>2533</v>
      </c>
      <c r="P1822" s="398" t="s">
        <v>574</v>
      </c>
    </row>
    <row r="1823" spans="1:16" s="401" customFormat="1" ht="48">
      <c r="A1823" s="429">
        <f t="shared" si="95"/>
        <v>1820</v>
      </c>
      <c r="B1823" s="387">
        <v>46167</v>
      </c>
      <c r="C1823" s="388">
        <v>46143</v>
      </c>
      <c r="D1823" s="389" t="s">
        <v>353</v>
      </c>
      <c r="E1823" s="484" t="s">
        <v>587</v>
      </c>
      <c r="F1823" s="491">
        <v>100</v>
      </c>
      <c r="G1823" s="486" t="s">
        <v>2885</v>
      </c>
      <c r="H1823" s="389" t="s">
        <v>280</v>
      </c>
      <c r="I1823" s="394" t="s">
        <v>744</v>
      </c>
      <c r="J1823" s="455">
        <v>7837375000150</v>
      </c>
      <c r="K1823" s="394" t="str">
        <f t="shared" si="94"/>
        <v>XXX737500015XX</v>
      </c>
      <c r="L1823" s="403"/>
      <c r="M1823" s="484" t="s">
        <v>708</v>
      </c>
      <c r="N1823" s="487">
        <v>52026</v>
      </c>
      <c r="O1823" s="487" t="s">
        <v>2533</v>
      </c>
      <c r="P1823" s="398" t="s">
        <v>574</v>
      </c>
    </row>
    <row r="1824" spans="1:16" s="401" customFormat="1" ht="48">
      <c r="A1824" s="429">
        <f t="shared" si="95"/>
        <v>1821</v>
      </c>
      <c r="B1824" s="387">
        <v>46167</v>
      </c>
      <c r="C1824" s="388">
        <v>46143</v>
      </c>
      <c r="D1824" s="389" t="s">
        <v>353</v>
      </c>
      <c r="E1824" s="484" t="s">
        <v>587</v>
      </c>
      <c r="F1824" s="491">
        <v>100</v>
      </c>
      <c r="G1824" s="486" t="s">
        <v>2886</v>
      </c>
      <c r="H1824" s="389" t="s">
        <v>280</v>
      </c>
      <c r="I1824" s="394" t="s">
        <v>744</v>
      </c>
      <c r="J1824" s="455">
        <v>7837375000150</v>
      </c>
      <c r="K1824" s="394" t="str">
        <f t="shared" si="94"/>
        <v>XXX737500015XX</v>
      </c>
      <c r="L1824" s="403"/>
      <c r="M1824" s="484" t="s">
        <v>708</v>
      </c>
      <c r="N1824" s="487">
        <v>52026</v>
      </c>
      <c r="O1824" s="487" t="s">
        <v>2533</v>
      </c>
      <c r="P1824" s="398" t="s">
        <v>574</v>
      </c>
    </row>
    <row r="1825" spans="1:16" s="401" customFormat="1" ht="48">
      <c r="A1825" s="429">
        <f t="shared" si="95"/>
        <v>1822</v>
      </c>
      <c r="B1825" s="387">
        <v>46167</v>
      </c>
      <c r="C1825" s="388">
        <v>46143</v>
      </c>
      <c r="D1825" s="389" t="s">
        <v>353</v>
      </c>
      <c r="E1825" s="484" t="s">
        <v>587</v>
      </c>
      <c r="F1825" s="491">
        <v>100</v>
      </c>
      <c r="G1825" s="486" t="s">
        <v>2887</v>
      </c>
      <c r="H1825" s="389" t="s">
        <v>280</v>
      </c>
      <c r="I1825" s="394" t="s">
        <v>744</v>
      </c>
      <c r="J1825" s="455">
        <v>7837375000150</v>
      </c>
      <c r="K1825" s="394" t="str">
        <f t="shared" si="94"/>
        <v>XXX737500015XX</v>
      </c>
      <c r="L1825" s="403"/>
      <c r="M1825" s="484" t="s">
        <v>708</v>
      </c>
      <c r="N1825" s="487">
        <v>52026</v>
      </c>
      <c r="O1825" s="487" t="s">
        <v>2533</v>
      </c>
      <c r="P1825" s="398" t="s">
        <v>574</v>
      </c>
    </row>
    <row r="1826" spans="1:16" s="401" customFormat="1" ht="48">
      <c r="A1826" s="429">
        <f t="shared" si="95"/>
        <v>1823</v>
      </c>
      <c r="B1826" s="387">
        <v>46167</v>
      </c>
      <c r="C1826" s="388">
        <v>46143</v>
      </c>
      <c r="D1826" s="389" t="s">
        <v>353</v>
      </c>
      <c r="E1826" s="484" t="s">
        <v>587</v>
      </c>
      <c r="F1826" s="491">
        <v>100</v>
      </c>
      <c r="G1826" s="486" t="s">
        <v>2888</v>
      </c>
      <c r="H1826" s="389" t="s">
        <v>280</v>
      </c>
      <c r="I1826" s="394" t="s">
        <v>744</v>
      </c>
      <c r="J1826" s="455">
        <v>7837375000150</v>
      </c>
      <c r="K1826" s="394" t="str">
        <f t="shared" si="94"/>
        <v>XXX737500015XX</v>
      </c>
      <c r="L1826" s="403"/>
      <c r="M1826" s="484" t="s">
        <v>708</v>
      </c>
      <c r="N1826" s="487">
        <v>52026</v>
      </c>
      <c r="O1826" s="487" t="s">
        <v>2533</v>
      </c>
      <c r="P1826" s="398" t="s">
        <v>574</v>
      </c>
    </row>
    <row r="1827" spans="1:16" s="401" customFormat="1" ht="48">
      <c r="A1827" s="429">
        <f t="shared" si="95"/>
        <v>1824</v>
      </c>
      <c r="B1827" s="387">
        <v>46167</v>
      </c>
      <c r="C1827" s="388">
        <v>46143</v>
      </c>
      <c r="D1827" s="389" t="s">
        <v>353</v>
      </c>
      <c r="E1827" s="484" t="s">
        <v>587</v>
      </c>
      <c r="F1827" s="491">
        <v>100</v>
      </c>
      <c r="G1827" s="486" t="s">
        <v>2889</v>
      </c>
      <c r="H1827" s="389" t="s">
        <v>280</v>
      </c>
      <c r="I1827" s="394" t="s">
        <v>744</v>
      </c>
      <c r="J1827" s="455">
        <v>7837375000150</v>
      </c>
      <c r="K1827" s="394" t="str">
        <f t="shared" si="94"/>
        <v>XXX737500015XX</v>
      </c>
      <c r="L1827" s="403"/>
      <c r="M1827" s="484" t="s">
        <v>708</v>
      </c>
      <c r="N1827" s="487">
        <v>52026</v>
      </c>
      <c r="O1827" s="487" t="s">
        <v>2533</v>
      </c>
      <c r="P1827" s="398" t="s">
        <v>574</v>
      </c>
    </row>
    <row r="1828" spans="1:16" s="401" customFormat="1" ht="48">
      <c r="A1828" s="429">
        <f t="shared" si="95"/>
        <v>1825</v>
      </c>
      <c r="B1828" s="387">
        <v>46167</v>
      </c>
      <c r="C1828" s="388">
        <v>46143</v>
      </c>
      <c r="D1828" s="389" t="s">
        <v>353</v>
      </c>
      <c r="E1828" s="484" t="s">
        <v>587</v>
      </c>
      <c r="F1828" s="491">
        <v>100</v>
      </c>
      <c r="G1828" s="486" t="s">
        <v>2890</v>
      </c>
      <c r="H1828" s="389" t="s">
        <v>280</v>
      </c>
      <c r="I1828" s="394" t="s">
        <v>744</v>
      </c>
      <c r="J1828" s="455">
        <v>7837375000150</v>
      </c>
      <c r="K1828" s="394" t="str">
        <f t="shared" si="94"/>
        <v>XXX737500015XX</v>
      </c>
      <c r="L1828" s="403"/>
      <c r="M1828" s="484" t="s">
        <v>708</v>
      </c>
      <c r="N1828" s="487">
        <v>52026</v>
      </c>
      <c r="O1828" s="487" t="s">
        <v>2533</v>
      </c>
      <c r="P1828" s="398" t="s">
        <v>574</v>
      </c>
    </row>
    <row r="1829" spans="1:16" s="401" customFormat="1" ht="36">
      <c r="A1829" s="429">
        <f t="shared" si="95"/>
        <v>1826</v>
      </c>
      <c r="B1829" s="387">
        <v>46167</v>
      </c>
      <c r="C1829" s="388">
        <v>46143</v>
      </c>
      <c r="D1829" s="389" t="s">
        <v>248</v>
      </c>
      <c r="E1829" s="484" t="s">
        <v>592</v>
      </c>
      <c r="F1829" s="491">
        <v>48.36</v>
      </c>
      <c r="G1829" s="486" t="s">
        <v>2988</v>
      </c>
      <c r="H1829" s="392" t="s">
        <v>278</v>
      </c>
      <c r="I1829" s="484" t="s">
        <v>2985</v>
      </c>
      <c r="J1829" s="487">
        <v>6946804000164</v>
      </c>
      <c r="K1829" s="394" t="str">
        <f t="shared" si="94"/>
        <v>XXX680400016XX</v>
      </c>
      <c r="L1829" s="403"/>
      <c r="M1829" s="484" t="s">
        <v>710</v>
      </c>
      <c r="N1829" s="487">
        <v>246</v>
      </c>
      <c r="O1829" s="487" t="s">
        <v>2541</v>
      </c>
      <c r="P1829" s="391" t="s">
        <v>2525</v>
      </c>
    </row>
    <row r="1830" spans="1:16" s="401" customFormat="1" ht="60">
      <c r="A1830" s="429">
        <f t="shared" si="95"/>
        <v>1827</v>
      </c>
      <c r="B1830" s="387">
        <v>46167</v>
      </c>
      <c r="C1830" s="388">
        <v>46143</v>
      </c>
      <c r="D1830" s="389" t="s">
        <v>248</v>
      </c>
      <c r="E1830" s="484" t="s">
        <v>605</v>
      </c>
      <c r="F1830" s="491">
        <v>456.75</v>
      </c>
      <c r="G1830" s="486" t="s">
        <v>2891</v>
      </c>
      <c r="H1830" s="389" t="s">
        <v>278</v>
      </c>
      <c r="I1830" s="484" t="s">
        <v>1452</v>
      </c>
      <c r="J1830" s="487" t="s">
        <v>1453</v>
      </c>
      <c r="K1830" s="394" t="str">
        <f t="shared" si="94"/>
        <v>XXX533050001XX</v>
      </c>
      <c r="L1830" s="403"/>
      <c r="M1830" s="484" t="s">
        <v>704</v>
      </c>
      <c r="N1830" s="487">
        <v>9416</v>
      </c>
      <c r="O1830" s="487" t="s">
        <v>2538</v>
      </c>
      <c r="P1830" s="398" t="s">
        <v>574</v>
      </c>
    </row>
    <row r="1831" spans="1:16" s="401" customFormat="1" ht="48">
      <c r="A1831" s="429">
        <f t="shared" si="95"/>
        <v>1828</v>
      </c>
      <c r="B1831" s="387">
        <v>46168</v>
      </c>
      <c r="C1831" s="388">
        <v>46143</v>
      </c>
      <c r="D1831" s="389" t="s">
        <v>248</v>
      </c>
      <c r="E1831" s="484" t="s">
        <v>597</v>
      </c>
      <c r="F1831" s="491">
        <v>612.6</v>
      </c>
      <c r="G1831" s="486" t="s">
        <v>2892</v>
      </c>
      <c r="H1831" s="453" t="s">
        <v>738</v>
      </c>
      <c r="I1831" s="484" t="s">
        <v>2654</v>
      </c>
      <c r="J1831" s="487" t="s">
        <v>2655</v>
      </c>
      <c r="K1831" s="394" t="str">
        <f t="shared" si="94"/>
        <v>XXX286090001XX</v>
      </c>
      <c r="L1831" s="403"/>
      <c r="M1831" s="484" t="s">
        <v>704</v>
      </c>
      <c r="N1831" s="487">
        <v>43166</v>
      </c>
      <c r="O1831" s="487" t="s">
        <v>2527</v>
      </c>
      <c r="P1831" s="398" t="s">
        <v>574</v>
      </c>
    </row>
    <row r="1832" spans="1:16" s="401" customFormat="1" ht="48">
      <c r="A1832" s="429">
        <f t="shared" si="95"/>
        <v>1829</v>
      </c>
      <c r="B1832" s="387">
        <v>46168</v>
      </c>
      <c r="C1832" s="388">
        <v>46143</v>
      </c>
      <c r="D1832" s="389" t="s">
        <v>248</v>
      </c>
      <c r="E1832" s="484" t="s">
        <v>607</v>
      </c>
      <c r="F1832" s="491">
        <v>83.96</v>
      </c>
      <c r="G1832" s="486" t="s">
        <v>2893</v>
      </c>
      <c r="H1832" s="389" t="s">
        <v>736</v>
      </c>
      <c r="I1832" s="398" t="s">
        <v>2953</v>
      </c>
      <c r="J1832" s="399" t="s">
        <v>2954</v>
      </c>
      <c r="K1832" s="394" t="str">
        <f t="shared" si="94"/>
        <v>26.068.130/0003-11</v>
      </c>
      <c r="L1832" s="403"/>
      <c r="M1832" s="484" t="s">
        <v>710</v>
      </c>
      <c r="N1832" s="487">
        <v>368806</v>
      </c>
      <c r="O1832" s="487" t="s">
        <v>2542</v>
      </c>
      <c r="P1832" s="391" t="s">
        <v>2525</v>
      </c>
    </row>
    <row r="1833" spans="1:16" s="401" customFormat="1" ht="36">
      <c r="A1833" s="429">
        <f t="shared" si="95"/>
        <v>1830</v>
      </c>
      <c r="B1833" s="387">
        <v>46168</v>
      </c>
      <c r="C1833" s="388">
        <v>46143</v>
      </c>
      <c r="D1833" s="389" t="s">
        <v>248</v>
      </c>
      <c r="E1833" s="484" t="s">
        <v>607</v>
      </c>
      <c r="F1833" s="491">
        <v>98.96</v>
      </c>
      <c r="G1833" s="486" t="s">
        <v>2894</v>
      </c>
      <c r="H1833" s="389" t="s">
        <v>736</v>
      </c>
      <c r="I1833" s="398" t="s">
        <v>2955</v>
      </c>
      <c r="J1833" s="399" t="s">
        <v>2956</v>
      </c>
      <c r="K1833" s="394" t="str">
        <f t="shared" si="94"/>
        <v>01.928.075/0016-86</v>
      </c>
      <c r="L1833" s="403"/>
      <c r="M1833" s="484" t="s">
        <v>710</v>
      </c>
      <c r="N1833" s="487">
        <v>346175</v>
      </c>
      <c r="O1833" s="487" t="s">
        <v>2542</v>
      </c>
      <c r="P1833" s="391" t="s">
        <v>2525</v>
      </c>
    </row>
    <row r="1834" spans="1:16" s="401" customFormat="1" ht="36">
      <c r="A1834" s="429">
        <f t="shared" si="95"/>
        <v>1831</v>
      </c>
      <c r="B1834" s="387">
        <v>46169</v>
      </c>
      <c r="C1834" s="388">
        <v>46143</v>
      </c>
      <c r="D1834" s="389" t="s">
        <v>248</v>
      </c>
      <c r="E1834" s="59" t="s">
        <v>170</v>
      </c>
      <c r="F1834" s="491">
        <v>205</v>
      </c>
      <c r="G1834" s="486" t="s">
        <v>2895</v>
      </c>
      <c r="H1834" s="392" t="s">
        <v>278</v>
      </c>
      <c r="I1834" s="484" t="s">
        <v>1096</v>
      </c>
      <c r="J1834" s="487" t="s">
        <v>1097</v>
      </c>
      <c r="K1834" s="394" t="str">
        <f t="shared" ref="K1834:K1876" si="96">IF(J1834="","",IF(LEN(J1834)&gt;14,IF(ISBLANK(J1834),"",J1834),REPLACE(REPLACE(J1834,1,3,"XXX"),13,2,"XX")))</f>
        <v>XXX140620002XX</v>
      </c>
      <c r="L1834" s="403"/>
      <c r="M1834" s="484" t="s">
        <v>913</v>
      </c>
      <c r="N1834" s="487">
        <v>321</v>
      </c>
      <c r="O1834" s="487" t="s">
        <v>2532</v>
      </c>
      <c r="P1834" s="398" t="s">
        <v>574</v>
      </c>
    </row>
    <row r="1835" spans="1:16" s="401" customFormat="1" ht="60">
      <c r="A1835" s="429">
        <f t="shared" si="95"/>
        <v>1832</v>
      </c>
      <c r="B1835" s="387">
        <v>46169</v>
      </c>
      <c r="C1835" s="388">
        <v>46113</v>
      </c>
      <c r="D1835" s="389" t="s">
        <v>248</v>
      </c>
      <c r="E1835" s="484" t="s">
        <v>605</v>
      </c>
      <c r="F1835" s="491">
        <v>227.74</v>
      </c>
      <c r="G1835" s="486" t="s">
        <v>2897</v>
      </c>
      <c r="H1835" s="389" t="s">
        <v>278</v>
      </c>
      <c r="I1835" s="484" t="s">
        <v>637</v>
      </c>
      <c r="J1835" s="487" t="s">
        <v>638</v>
      </c>
      <c r="K1835" s="394" t="str">
        <f t="shared" si="96"/>
        <v>XXX128340001XX</v>
      </c>
      <c r="L1835" s="403"/>
      <c r="M1835" s="484" t="s">
        <v>716</v>
      </c>
      <c r="N1835" s="487">
        <v>74310426</v>
      </c>
      <c r="O1835" s="487" t="s">
        <v>2089</v>
      </c>
      <c r="P1835" s="398" t="s">
        <v>573</v>
      </c>
    </row>
    <row r="1836" spans="1:16" s="401" customFormat="1" ht="24">
      <c r="A1836" s="429">
        <f t="shared" si="95"/>
        <v>1833</v>
      </c>
      <c r="B1836" s="387">
        <v>46169</v>
      </c>
      <c r="C1836" s="388">
        <v>46113</v>
      </c>
      <c r="D1836" s="389" t="s">
        <v>166</v>
      </c>
      <c r="E1836" s="484" t="s">
        <v>583</v>
      </c>
      <c r="F1836" s="491">
        <v>6789.53</v>
      </c>
      <c r="G1836" s="486" t="s">
        <v>2898</v>
      </c>
      <c r="H1836" s="389" t="s">
        <v>166</v>
      </c>
      <c r="I1836" s="484" t="s">
        <v>2656</v>
      </c>
      <c r="J1836" s="487" t="s">
        <v>2657</v>
      </c>
      <c r="K1836" s="394" t="str">
        <f t="shared" si="96"/>
        <v>XXX31366620 XX</v>
      </c>
      <c r="L1836" s="403"/>
      <c r="M1836" s="484" t="s">
        <v>705</v>
      </c>
      <c r="N1836" s="487">
        <v>733</v>
      </c>
      <c r="O1836" s="487" t="s">
        <v>2089</v>
      </c>
      <c r="P1836" s="398" t="s">
        <v>573</v>
      </c>
    </row>
    <row r="1837" spans="1:16" s="401" customFormat="1" ht="48">
      <c r="A1837" s="429">
        <f t="shared" si="95"/>
        <v>1834</v>
      </c>
      <c r="B1837" s="387">
        <v>46169</v>
      </c>
      <c r="C1837" s="388">
        <v>46143</v>
      </c>
      <c r="D1837" s="389" t="s">
        <v>166</v>
      </c>
      <c r="E1837" s="484" t="s">
        <v>584</v>
      </c>
      <c r="F1837" s="491">
        <v>4760.3</v>
      </c>
      <c r="G1837" s="486" t="s">
        <v>2899</v>
      </c>
      <c r="H1837" s="389" t="s">
        <v>166</v>
      </c>
      <c r="I1837" s="484" t="s">
        <v>618</v>
      </c>
      <c r="J1837" s="487" t="s">
        <v>619</v>
      </c>
      <c r="K1837" s="394" t="str">
        <f t="shared" si="96"/>
        <v>XXX985050001XX</v>
      </c>
      <c r="L1837" s="403"/>
      <c r="M1837" s="484" t="s">
        <v>706</v>
      </c>
      <c r="N1837" s="487">
        <v>2057887477</v>
      </c>
      <c r="O1837" s="487" t="s">
        <v>2543</v>
      </c>
      <c r="P1837" s="398" t="s">
        <v>572</v>
      </c>
    </row>
    <row r="1838" spans="1:16" s="401" customFormat="1" ht="36">
      <c r="A1838" s="429">
        <f t="shared" si="95"/>
        <v>1835</v>
      </c>
      <c r="B1838" s="387">
        <v>46169</v>
      </c>
      <c r="C1838" s="388">
        <v>46143</v>
      </c>
      <c r="D1838" s="389" t="s">
        <v>166</v>
      </c>
      <c r="E1838" s="484" t="s">
        <v>586</v>
      </c>
      <c r="F1838" s="491">
        <v>55854.16</v>
      </c>
      <c r="G1838" s="486" t="s">
        <v>2900</v>
      </c>
      <c r="H1838" s="389" t="s">
        <v>166</v>
      </c>
      <c r="I1838" s="484" t="s">
        <v>620</v>
      </c>
      <c r="J1838" s="487" t="s">
        <v>621</v>
      </c>
      <c r="K1838" s="394" t="str">
        <f t="shared" si="96"/>
        <v>XXX408760001XX</v>
      </c>
      <c r="L1838" s="403"/>
      <c r="M1838" s="484" t="s">
        <v>706</v>
      </c>
      <c r="N1838" s="487">
        <v>2057887478</v>
      </c>
      <c r="O1838" s="487" t="s">
        <v>2543</v>
      </c>
      <c r="P1838" s="398" t="s">
        <v>572</v>
      </c>
    </row>
    <row r="1839" spans="1:16" s="401" customFormat="1" ht="36">
      <c r="A1839" s="429">
        <f t="shared" si="95"/>
        <v>1836</v>
      </c>
      <c r="B1839" s="387">
        <v>46169</v>
      </c>
      <c r="C1839" s="388">
        <v>46143</v>
      </c>
      <c r="D1839" s="389" t="s">
        <v>166</v>
      </c>
      <c r="E1839" s="484" t="s">
        <v>586</v>
      </c>
      <c r="F1839" s="491">
        <v>78220</v>
      </c>
      <c r="G1839" s="486" t="s">
        <v>2901</v>
      </c>
      <c r="H1839" s="389" t="s">
        <v>166</v>
      </c>
      <c r="I1839" s="484" t="s">
        <v>620</v>
      </c>
      <c r="J1839" s="487" t="s">
        <v>621</v>
      </c>
      <c r="K1839" s="394" t="str">
        <f t="shared" si="96"/>
        <v>XXX408760001XX</v>
      </c>
      <c r="L1839" s="403"/>
      <c r="M1839" s="484" t="s">
        <v>706</v>
      </c>
      <c r="N1839" s="487">
        <v>2057887479</v>
      </c>
      <c r="O1839" s="487" t="s">
        <v>2543</v>
      </c>
      <c r="P1839" s="398" t="s">
        <v>572</v>
      </c>
    </row>
    <row r="1840" spans="1:16" s="401" customFormat="1" ht="36">
      <c r="A1840" s="429">
        <f t="shared" si="95"/>
        <v>1837</v>
      </c>
      <c r="B1840" s="387">
        <v>46169</v>
      </c>
      <c r="C1840" s="388">
        <v>46143</v>
      </c>
      <c r="D1840" s="389" t="s">
        <v>166</v>
      </c>
      <c r="E1840" s="484" t="s">
        <v>69</v>
      </c>
      <c r="F1840" s="491">
        <v>3600</v>
      </c>
      <c r="G1840" s="486" t="s">
        <v>2902</v>
      </c>
      <c r="H1840" s="389" t="s">
        <v>166</v>
      </c>
      <c r="I1840" s="484" t="s">
        <v>620</v>
      </c>
      <c r="J1840" s="487" t="s">
        <v>621</v>
      </c>
      <c r="K1840" s="394" t="str">
        <f t="shared" si="96"/>
        <v>XXX408760001XX</v>
      </c>
      <c r="L1840" s="403"/>
      <c r="M1840" s="484" t="s">
        <v>706</v>
      </c>
      <c r="N1840" s="487">
        <v>2057887480</v>
      </c>
      <c r="O1840" s="487" t="s">
        <v>2543</v>
      </c>
      <c r="P1840" s="398" t="s">
        <v>572</v>
      </c>
    </row>
    <row r="1841" spans="1:16" s="401" customFormat="1" ht="48">
      <c r="A1841" s="429">
        <f t="shared" si="95"/>
        <v>1838</v>
      </c>
      <c r="B1841" s="387">
        <v>46169</v>
      </c>
      <c r="C1841" s="388">
        <v>46143</v>
      </c>
      <c r="D1841" s="389" t="s">
        <v>166</v>
      </c>
      <c r="E1841" s="484" t="s">
        <v>584</v>
      </c>
      <c r="F1841" s="491">
        <v>1196.1600000000001</v>
      </c>
      <c r="G1841" s="486" t="s">
        <v>2903</v>
      </c>
      <c r="H1841" s="389" t="s">
        <v>166</v>
      </c>
      <c r="I1841" s="484" t="s">
        <v>622</v>
      </c>
      <c r="J1841" s="487" t="s">
        <v>623</v>
      </c>
      <c r="K1841" s="394" t="str">
        <f t="shared" si="96"/>
        <v>XXX267150001XX</v>
      </c>
      <c r="L1841" s="403"/>
      <c r="M1841" s="484" t="s">
        <v>706</v>
      </c>
      <c r="N1841" s="487">
        <v>2057887481</v>
      </c>
      <c r="O1841" s="487" t="s">
        <v>2543</v>
      </c>
      <c r="P1841" s="398" t="s">
        <v>572</v>
      </c>
    </row>
    <row r="1842" spans="1:16" s="401" customFormat="1" ht="60">
      <c r="A1842" s="429">
        <f t="shared" si="95"/>
        <v>1839</v>
      </c>
      <c r="B1842" s="387">
        <v>46170</v>
      </c>
      <c r="C1842" s="388">
        <v>46113</v>
      </c>
      <c r="D1842" s="389" t="s">
        <v>248</v>
      </c>
      <c r="E1842" s="484" t="s">
        <v>607</v>
      </c>
      <c r="F1842" s="491">
        <v>117</v>
      </c>
      <c r="G1842" s="486" t="s">
        <v>2904</v>
      </c>
      <c r="H1842" s="453" t="s">
        <v>278</v>
      </c>
      <c r="I1842" s="484" t="s">
        <v>1137</v>
      </c>
      <c r="J1842" s="487" t="s">
        <v>1138</v>
      </c>
      <c r="K1842" s="394" t="str">
        <f t="shared" si="96"/>
        <v>XXX46478649 XX</v>
      </c>
      <c r="L1842" s="403"/>
      <c r="M1842" s="484" t="s">
        <v>708</v>
      </c>
      <c r="N1842" s="487">
        <v>75437</v>
      </c>
      <c r="O1842" s="487" t="s">
        <v>2105</v>
      </c>
      <c r="P1842" s="398" t="s">
        <v>574</v>
      </c>
    </row>
    <row r="1843" spans="1:16" s="401" customFormat="1" ht="48">
      <c r="A1843" s="429">
        <f t="shared" si="95"/>
        <v>1840</v>
      </c>
      <c r="B1843" s="387">
        <v>46170</v>
      </c>
      <c r="C1843" s="388">
        <v>46113</v>
      </c>
      <c r="D1843" s="389" t="s">
        <v>248</v>
      </c>
      <c r="E1843" s="484" t="s">
        <v>607</v>
      </c>
      <c r="F1843" s="491">
        <v>117</v>
      </c>
      <c r="G1843" s="486" t="s">
        <v>2905</v>
      </c>
      <c r="H1843" s="453" t="s">
        <v>278</v>
      </c>
      <c r="I1843" s="484" t="s">
        <v>2577</v>
      </c>
      <c r="J1843" s="487" t="s">
        <v>2578</v>
      </c>
      <c r="K1843" s="394" t="str">
        <f t="shared" si="96"/>
        <v>XXX14236672 XX</v>
      </c>
      <c r="L1843" s="403"/>
      <c r="M1843" s="484" t="s">
        <v>708</v>
      </c>
      <c r="N1843" s="487">
        <v>75436</v>
      </c>
      <c r="O1843" s="487" t="s">
        <v>2105</v>
      </c>
      <c r="P1843" s="398" t="s">
        <v>574</v>
      </c>
    </row>
    <row r="1844" spans="1:16" s="401" customFormat="1" ht="36">
      <c r="A1844" s="429">
        <f t="shared" si="95"/>
        <v>1841</v>
      </c>
      <c r="B1844" s="387">
        <v>46170</v>
      </c>
      <c r="C1844" s="388">
        <v>46143</v>
      </c>
      <c r="D1844" s="389" t="s">
        <v>248</v>
      </c>
      <c r="E1844" s="59" t="s">
        <v>167</v>
      </c>
      <c r="F1844" s="491">
        <v>1129.32</v>
      </c>
      <c r="G1844" s="486" t="s">
        <v>2906</v>
      </c>
      <c r="H1844" s="389" t="s">
        <v>278</v>
      </c>
      <c r="I1844" s="484" t="s">
        <v>702</v>
      </c>
      <c r="J1844" s="487" t="s">
        <v>703</v>
      </c>
      <c r="K1844" s="394" t="str">
        <f t="shared" si="96"/>
        <v>XXX805100001XX</v>
      </c>
      <c r="L1844" s="403"/>
      <c r="M1844" s="484" t="s">
        <v>704</v>
      </c>
      <c r="N1844" s="487">
        <v>907</v>
      </c>
      <c r="O1844" s="487" t="s">
        <v>2118</v>
      </c>
      <c r="P1844" s="398" t="s">
        <v>868</v>
      </c>
    </row>
    <row r="1845" spans="1:16" s="401" customFormat="1" ht="36">
      <c r="A1845" s="429">
        <f t="shared" si="95"/>
        <v>1842</v>
      </c>
      <c r="B1845" s="387">
        <v>46170</v>
      </c>
      <c r="C1845" s="388">
        <v>46143</v>
      </c>
      <c r="D1845" s="389" t="s">
        <v>248</v>
      </c>
      <c r="E1845" s="484" t="s">
        <v>591</v>
      </c>
      <c r="F1845" s="491">
        <v>600</v>
      </c>
      <c r="G1845" s="486" t="s">
        <v>2907</v>
      </c>
      <c r="H1845" s="389" t="s">
        <v>736</v>
      </c>
      <c r="I1845" s="484" t="s">
        <v>2658</v>
      </c>
      <c r="J1845" s="487" t="s">
        <v>2659</v>
      </c>
      <c r="K1845" s="394" t="str">
        <f t="shared" si="96"/>
        <v>XXX494670001XX</v>
      </c>
      <c r="L1845" s="403"/>
      <c r="M1845" s="484" t="s">
        <v>708</v>
      </c>
      <c r="N1845" s="487">
        <v>26</v>
      </c>
      <c r="O1845" s="487" t="s">
        <v>2536</v>
      </c>
      <c r="P1845" s="398" t="s">
        <v>574</v>
      </c>
    </row>
    <row r="1846" spans="1:16" s="401" customFormat="1" ht="36">
      <c r="A1846" s="429">
        <f t="shared" si="95"/>
        <v>1843</v>
      </c>
      <c r="B1846" s="387">
        <v>46170</v>
      </c>
      <c r="C1846" s="388">
        <v>46143</v>
      </c>
      <c r="D1846" s="389" t="s">
        <v>353</v>
      </c>
      <c r="E1846" s="39" t="s">
        <v>153</v>
      </c>
      <c r="F1846" s="491">
        <v>50.92</v>
      </c>
      <c r="G1846" s="486" t="s">
        <v>2808</v>
      </c>
      <c r="H1846" s="389" t="s">
        <v>280</v>
      </c>
      <c r="I1846" s="394" t="s">
        <v>744</v>
      </c>
      <c r="J1846" s="455">
        <v>7837375000150</v>
      </c>
      <c r="K1846" s="394" t="str">
        <f t="shared" si="96"/>
        <v>XXX737500015XX</v>
      </c>
      <c r="L1846" s="403"/>
      <c r="M1846" s="484" t="s">
        <v>726</v>
      </c>
      <c r="N1846" s="487">
        <v>8052026</v>
      </c>
      <c r="O1846" s="487" t="s">
        <v>2530</v>
      </c>
      <c r="P1846" s="398" t="s">
        <v>574</v>
      </c>
    </row>
    <row r="1847" spans="1:16" s="401" customFormat="1" ht="48">
      <c r="A1847" s="429">
        <f t="shared" si="95"/>
        <v>1844</v>
      </c>
      <c r="B1847" s="387">
        <v>46170</v>
      </c>
      <c r="C1847" s="388">
        <v>46143</v>
      </c>
      <c r="D1847" s="389" t="s">
        <v>248</v>
      </c>
      <c r="E1847" s="484" t="s">
        <v>607</v>
      </c>
      <c r="F1847" s="491">
        <v>1451</v>
      </c>
      <c r="G1847" s="486" t="s">
        <v>2908</v>
      </c>
      <c r="H1847" s="453" t="s">
        <v>736</v>
      </c>
      <c r="I1847" s="484" t="s">
        <v>688</v>
      </c>
      <c r="J1847" s="487" t="s">
        <v>689</v>
      </c>
      <c r="K1847" s="394" t="str">
        <f t="shared" si="96"/>
        <v>XXX016540001XX</v>
      </c>
      <c r="L1847" s="403"/>
      <c r="M1847" s="484" t="s">
        <v>708</v>
      </c>
      <c r="N1847" s="487">
        <v>2829</v>
      </c>
      <c r="O1847" s="487" t="s">
        <v>2540</v>
      </c>
      <c r="P1847" s="398" t="s">
        <v>574</v>
      </c>
    </row>
    <row r="1848" spans="1:16" s="401" customFormat="1" ht="36">
      <c r="A1848" s="429">
        <f t="shared" si="95"/>
        <v>1845</v>
      </c>
      <c r="B1848" s="387">
        <v>46170</v>
      </c>
      <c r="C1848" s="388">
        <v>46113</v>
      </c>
      <c r="D1848" s="389" t="s">
        <v>248</v>
      </c>
      <c r="E1848" s="484" t="s">
        <v>599</v>
      </c>
      <c r="F1848" s="491">
        <v>3379.29</v>
      </c>
      <c r="G1848" s="486" t="s">
        <v>2714</v>
      </c>
      <c r="H1848" s="389" t="s">
        <v>736</v>
      </c>
      <c r="I1848" s="484" t="s">
        <v>1481</v>
      </c>
      <c r="J1848" s="487" t="s">
        <v>1482</v>
      </c>
      <c r="K1848" s="394" t="str">
        <f t="shared" si="96"/>
        <v>XXX582120001XX</v>
      </c>
      <c r="L1848" s="403"/>
      <c r="M1848" s="484" t="s">
        <v>708</v>
      </c>
      <c r="N1848" s="487">
        <v>64</v>
      </c>
      <c r="O1848" s="487" t="s">
        <v>2540</v>
      </c>
      <c r="P1848" s="398" t="s">
        <v>574</v>
      </c>
    </row>
    <row r="1849" spans="1:16" s="401" customFormat="1" ht="60">
      <c r="A1849" s="429">
        <f t="shared" si="95"/>
        <v>1846</v>
      </c>
      <c r="B1849" s="387">
        <v>46170</v>
      </c>
      <c r="C1849" s="388">
        <v>46143</v>
      </c>
      <c r="D1849" s="389" t="s">
        <v>248</v>
      </c>
      <c r="E1849" s="484" t="s">
        <v>1213</v>
      </c>
      <c r="F1849" s="491">
        <v>3094.4</v>
      </c>
      <c r="G1849" s="486" t="s">
        <v>2909</v>
      </c>
      <c r="H1849" s="392" t="s">
        <v>1029</v>
      </c>
      <c r="I1849" s="484" t="s">
        <v>2622</v>
      </c>
      <c r="J1849" s="487" t="s">
        <v>2623</v>
      </c>
      <c r="K1849" s="394" t="str">
        <f t="shared" si="96"/>
        <v>XXX733890001XX</v>
      </c>
      <c r="L1849" s="403"/>
      <c r="M1849" s="484" t="s">
        <v>708</v>
      </c>
      <c r="N1849" s="487">
        <v>59</v>
      </c>
      <c r="O1849" s="487" t="s">
        <v>2540</v>
      </c>
      <c r="P1849" s="398" t="s">
        <v>574</v>
      </c>
    </row>
    <row r="1850" spans="1:16" s="401" customFormat="1" ht="36">
      <c r="A1850" s="429">
        <f t="shared" si="95"/>
        <v>1847</v>
      </c>
      <c r="B1850" s="387">
        <v>46170</v>
      </c>
      <c r="C1850" s="388">
        <v>46143</v>
      </c>
      <c r="D1850" s="389" t="s">
        <v>248</v>
      </c>
      <c r="E1850" s="60" t="s">
        <v>78</v>
      </c>
      <c r="F1850" s="491">
        <v>252</v>
      </c>
      <c r="G1850" s="486" t="s">
        <v>2910</v>
      </c>
      <c r="H1850" s="453" t="s">
        <v>736</v>
      </c>
      <c r="I1850" s="484" t="s">
        <v>2660</v>
      </c>
      <c r="J1850" s="487" t="s">
        <v>2661</v>
      </c>
      <c r="K1850" s="394" t="str">
        <f t="shared" si="96"/>
        <v>XXX72458334 XX</v>
      </c>
      <c r="L1850" s="403"/>
      <c r="M1850" s="484" t="s">
        <v>708</v>
      </c>
      <c r="N1850" s="487">
        <v>25</v>
      </c>
      <c r="O1850" s="487" t="s">
        <v>2539</v>
      </c>
      <c r="P1850" s="398" t="s">
        <v>574</v>
      </c>
    </row>
    <row r="1851" spans="1:16" s="401" customFormat="1" ht="36">
      <c r="A1851" s="429">
        <f t="shared" si="95"/>
        <v>1848</v>
      </c>
      <c r="B1851" s="387">
        <v>46170</v>
      </c>
      <c r="C1851" s="388">
        <v>46143</v>
      </c>
      <c r="D1851" s="389" t="s">
        <v>248</v>
      </c>
      <c r="E1851" s="484" t="s">
        <v>597</v>
      </c>
      <c r="F1851" s="491">
        <v>4325</v>
      </c>
      <c r="G1851" s="486" t="s">
        <v>2896</v>
      </c>
      <c r="H1851" s="453" t="s">
        <v>1029</v>
      </c>
      <c r="I1851" s="484" t="s">
        <v>2588</v>
      </c>
      <c r="J1851" s="487" t="s">
        <v>2589</v>
      </c>
      <c r="K1851" s="394" t="str">
        <f t="shared" si="96"/>
        <v>XXX551040001XX</v>
      </c>
      <c r="L1851" s="403"/>
      <c r="M1851" s="484" t="s">
        <v>708</v>
      </c>
      <c r="N1851" s="487">
        <v>3581</v>
      </c>
      <c r="O1851" s="487" t="s">
        <v>2540</v>
      </c>
      <c r="P1851" s="398" t="s">
        <v>574</v>
      </c>
    </row>
    <row r="1852" spans="1:16" s="401" customFormat="1" ht="48">
      <c r="A1852" s="429">
        <f t="shared" si="95"/>
        <v>1849</v>
      </c>
      <c r="B1852" s="387">
        <v>46170</v>
      </c>
      <c r="C1852" s="388">
        <v>46143</v>
      </c>
      <c r="D1852" s="389" t="s">
        <v>248</v>
      </c>
      <c r="E1852" s="484" t="s">
        <v>597</v>
      </c>
      <c r="F1852" s="491">
        <v>2710</v>
      </c>
      <c r="G1852" s="486" t="s">
        <v>2911</v>
      </c>
      <c r="H1852" s="453" t="s">
        <v>736</v>
      </c>
      <c r="I1852" s="484" t="s">
        <v>2662</v>
      </c>
      <c r="J1852" s="487" t="s">
        <v>2663</v>
      </c>
      <c r="K1852" s="394" t="str">
        <f t="shared" si="96"/>
        <v>XXX400410001XX</v>
      </c>
      <c r="L1852" s="403"/>
      <c r="M1852" s="484" t="s">
        <v>708</v>
      </c>
      <c r="N1852" s="487">
        <v>18315</v>
      </c>
      <c r="O1852" s="487" t="s">
        <v>2531</v>
      </c>
      <c r="P1852" s="398" t="s">
        <v>574</v>
      </c>
    </row>
    <row r="1853" spans="1:16" s="401" customFormat="1" ht="36">
      <c r="A1853" s="429">
        <f t="shared" si="95"/>
        <v>1850</v>
      </c>
      <c r="B1853" s="387">
        <v>46170</v>
      </c>
      <c r="C1853" s="388">
        <v>46143</v>
      </c>
      <c r="D1853" s="389" t="s">
        <v>132</v>
      </c>
      <c r="E1853" s="38" t="s">
        <v>218</v>
      </c>
      <c r="F1853" s="491">
        <v>12245</v>
      </c>
      <c r="G1853" s="486" t="s">
        <v>2912</v>
      </c>
      <c r="H1853" s="453" t="s">
        <v>736</v>
      </c>
      <c r="I1853" s="484" t="s">
        <v>2662</v>
      </c>
      <c r="J1853" s="487" t="s">
        <v>2663</v>
      </c>
      <c r="K1853" s="394" t="str">
        <f t="shared" si="96"/>
        <v>XXX400410001XX</v>
      </c>
      <c r="L1853" s="403"/>
      <c r="M1853" s="484" t="s">
        <v>708</v>
      </c>
      <c r="N1853" s="487">
        <v>18316</v>
      </c>
      <c r="O1853" s="487" t="s">
        <v>2531</v>
      </c>
      <c r="P1853" s="398" t="s">
        <v>574</v>
      </c>
    </row>
    <row r="1854" spans="1:16" s="401" customFormat="1" ht="36">
      <c r="A1854" s="429">
        <f t="shared" si="95"/>
        <v>1851</v>
      </c>
      <c r="B1854" s="387">
        <v>46170</v>
      </c>
      <c r="C1854" s="388">
        <v>46143</v>
      </c>
      <c r="D1854" s="389" t="s">
        <v>353</v>
      </c>
      <c r="E1854" s="39" t="s">
        <v>153</v>
      </c>
      <c r="F1854" s="491">
        <v>17461.62</v>
      </c>
      <c r="G1854" s="486" t="s">
        <v>821</v>
      </c>
      <c r="H1854" s="389" t="s">
        <v>280</v>
      </c>
      <c r="I1854" s="394" t="s">
        <v>744</v>
      </c>
      <c r="J1854" s="455">
        <v>7837375000150</v>
      </c>
      <c r="K1854" s="394" t="str">
        <f t="shared" si="96"/>
        <v>XXX737500015XX</v>
      </c>
      <c r="L1854" s="403"/>
      <c r="M1854" s="484" t="s">
        <v>706</v>
      </c>
      <c r="N1854" s="487">
        <v>2057887476</v>
      </c>
      <c r="O1854" s="487" t="s">
        <v>2544</v>
      </c>
      <c r="P1854" s="398" t="s">
        <v>574</v>
      </c>
    </row>
    <row r="1855" spans="1:16" s="401" customFormat="1" ht="36">
      <c r="A1855" s="429">
        <f t="shared" si="95"/>
        <v>1852</v>
      </c>
      <c r="B1855" s="387">
        <v>46170</v>
      </c>
      <c r="C1855" s="388">
        <v>46143</v>
      </c>
      <c r="D1855" s="389" t="s">
        <v>353</v>
      </c>
      <c r="E1855" s="39" t="s">
        <v>153</v>
      </c>
      <c r="F1855" s="491">
        <v>9767.7800000000007</v>
      </c>
      <c r="G1855" s="486" t="s">
        <v>2913</v>
      </c>
      <c r="H1855" s="389" t="s">
        <v>280</v>
      </c>
      <c r="I1855" s="394" t="s">
        <v>744</v>
      </c>
      <c r="J1855" s="455">
        <v>7837375000150</v>
      </c>
      <c r="K1855" s="394" t="str">
        <f t="shared" si="96"/>
        <v>XXX737500015XX</v>
      </c>
      <c r="L1855" s="403"/>
      <c r="M1855" s="484" t="s">
        <v>726</v>
      </c>
      <c r="N1855" s="487">
        <v>21052026</v>
      </c>
      <c r="O1855" s="487" t="s">
        <v>2539</v>
      </c>
      <c r="P1855" s="398" t="s">
        <v>574</v>
      </c>
    </row>
    <row r="1856" spans="1:16" s="401" customFormat="1" ht="36">
      <c r="A1856" s="429">
        <f t="shared" ref="A1856:A1900" si="97">IF(B1856="","",ROW()-ROW($A$3))</f>
        <v>1853</v>
      </c>
      <c r="B1856" s="387">
        <v>46170</v>
      </c>
      <c r="C1856" s="388">
        <v>46143</v>
      </c>
      <c r="D1856" s="389" t="s">
        <v>353</v>
      </c>
      <c r="E1856" s="39" t="s">
        <v>153</v>
      </c>
      <c r="F1856" s="491">
        <v>9229.65</v>
      </c>
      <c r="G1856" s="486" t="s">
        <v>2914</v>
      </c>
      <c r="H1856" s="389" t="s">
        <v>280</v>
      </c>
      <c r="I1856" s="394" t="s">
        <v>744</v>
      </c>
      <c r="J1856" s="455">
        <v>7837375000150</v>
      </c>
      <c r="K1856" s="394" t="str">
        <f t="shared" si="96"/>
        <v>XXX737500015XX</v>
      </c>
      <c r="L1856" s="403"/>
      <c r="M1856" s="484" t="s">
        <v>726</v>
      </c>
      <c r="N1856" s="487">
        <v>22052026</v>
      </c>
      <c r="O1856" s="487" t="s">
        <v>2540</v>
      </c>
      <c r="P1856" s="398" t="s">
        <v>574</v>
      </c>
    </row>
    <row r="1857" spans="1:18" s="401" customFormat="1" ht="36">
      <c r="A1857" s="429">
        <f t="shared" si="97"/>
        <v>1854</v>
      </c>
      <c r="B1857" s="387">
        <v>46170</v>
      </c>
      <c r="C1857" s="388">
        <v>46143</v>
      </c>
      <c r="D1857" s="389" t="s">
        <v>248</v>
      </c>
      <c r="E1857" s="484" t="s">
        <v>597</v>
      </c>
      <c r="F1857" s="491">
        <v>7.5</v>
      </c>
      <c r="G1857" s="486" t="s">
        <v>2915</v>
      </c>
      <c r="H1857" s="453" t="s">
        <v>278</v>
      </c>
      <c r="I1857" s="484" t="s">
        <v>2958</v>
      </c>
      <c r="J1857" s="487" t="s">
        <v>2959</v>
      </c>
      <c r="K1857" s="394" t="str">
        <f t="shared" si="96"/>
        <v>01.635.506/0001-30</v>
      </c>
      <c r="L1857" s="403"/>
      <c r="M1857" s="484" t="s">
        <v>710</v>
      </c>
      <c r="N1857" s="487">
        <v>60349</v>
      </c>
      <c r="O1857" s="487" t="s">
        <v>2544</v>
      </c>
      <c r="P1857" s="391" t="s">
        <v>2525</v>
      </c>
    </row>
    <row r="1858" spans="1:18" s="401" customFormat="1" ht="36">
      <c r="A1858" s="429">
        <f t="shared" si="97"/>
        <v>1855</v>
      </c>
      <c r="B1858" s="387">
        <v>46170</v>
      </c>
      <c r="C1858" s="388">
        <v>46143</v>
      </c>
      <c r="D1858" s="389" t="s">
        <v>248</v>
      </c>
      <c r="E1858" s="60" t="s">
        <v>0</v>
      </c>
      <c r="F1858" s="491">
        <v>15.9</v>
      </c>
      <c r="G1858" s="486" t="s">
        <v>2915</v>
      </c>
      <c r="H1858" s="389" t="s">
        <v>278</v>
      </c>
      <c r="I1858" s="484" t="s">
        <v>2958</v>
      </c>
      <c r="J1858" s="487" t="s">
        <v>2959</v>
      </c>
      <c r="K1858" s="394" t="str">
        <f t="shared" si="96"/>
        <v>01.635.506/0001-30</v>
      </c>
      <c r="L1858" s="403"/>
      <c r="M1858" s="484" t="s">
        <v>710</v>
      </c>
      <c r="N1858" s="487">
        <v>60349</v>
      </c>
      <c r="O1858" s="487" t="s">
        <v>2544</v>
      </c>
      <c r="P1858" s="391" t="s">
        <v>2525</v>
      </c>
    </row>
    <row r="1859" spans="1:18" s="401" customFormat="1" ht="96">
      <c r="A1859" s="429">
        <f t="shared" si="97"/>
        <v>1856</v>
      </c>
      <c r="B1859" s="387">
        <v>46170</v>
      </c>
      <c r="C1859" s="388">
        <v>46143</v>
      </c>
      <c r="D1859" s="389" t="s">
        <v>248</v>
      </c>
      <c r="E1859" s="60" t="s">
        <v>78</v>
      </c>
      <c r="F1859" s="491">
        <v>3729.21</v>
      </c>
      <c r="G1859" s="486" t="s">
        <v>2916</v>
      </c>
      <c r="H1859" s="453" t="s">
        <v>1029</v>
      </c>
      <c r="I1859" s="484" t="s">
        <v>658</v>
      </c>
      <c r="J1859" s="487" t="s">
        <v>659</v>
      </c>
      <c r="K1859" s="394" t="str">
        <f t="shared" si="96"/>
        <v>XXX694420001XX</v>
      </c>
      <c r="L1859" s="403"/>
      <c r="M1859" s="484" t="s">
        <v>704</v>
      </c>
      <c r="N1859" s="487">
        <v>826</v>
      </c>
      <c r="O1859" s="487" t="s">
        <v>2529</v>
      </c>
      <c r="P1859" s="398" t="s">
        <v>574</v>
      </c>
    </row>
    <row r="1860" spans="1:18" ht="36">
      <c r="A1860" s="429">
        <f t="shared" si="97"/>
        <v>1857</v>
      </c>
      <c r="B1860" s="387">
        <v>46171</v>
      </c>
      <c r="C1860" s="388">
        <v>46113</v>
      </c>
      <c r="D1860" s="389" t="s">
        <v>248</v>
      </c>
      <c r="E1860" s="60" t="s">
        <v>455</v>
      </c>
      <c r="F1860" s="491">
        <v>46928.51</v>
      </c>
      <c r="G1860" s="486" t="s">
        <v>2917</v>
      </c>
      <c r="H1860" s="389" t="s">
        <v>738</v>
      </c>
      <c r="I1860" s="484" t="s">
        <v>1433</v>
      </c>
      <c r="J1860" s="487" t="s">
        <v>1434</v>
      </c>
      <c r="K1860" s="394" t="str">
        <f t="shared" si="96"/>
        <v>XXX981830001XX</v>
      </c>
      <c r="L1860" s="183"/>
      <c r="M1860" s="484" t="s">
        <v>707</v>
      </c>
      <c r="N1860" s="487">
        <v>326</v>
      </c>
      <c r="O1860" s="487" t="s">
        <v>2529</v>
      </c>
      <c r="P1860" s="398" t="s">
        <v>868</v>
      </c>
      <c r="Q1860" s="458"/>
      <c r="R1860" s="459"/>
    </row>
    <row r="1861" spans="1:18" ht="36">
      <c r="A1861" s="429">
        <f t="shared" si="97"/>
        <v>1858</v>
      </c>
      <c r="B1861" s="387">
        <v>46171</v>
      </c>
      <c r="C1861" s="388">
        <v>46143</v>
      </c>
      <c r="D1861" s="389" t="s">
        <v>248</v>
      </c>
      <c r="E1861" s="484" t="s">
        <v>1208</v>
      </c>
      <c r="F1861" s="491">
        <v>610.84</v>
      </c>
      <c r="G1861" s="486" t="s">
        <v>2918</v>
      </c>
      <c r="H1861" s="389" t="s">
        <v>278</v>
      </c>
      <c r="I1861" s="484" t="s">
        <v>1046</v>
      </c>
      <c r="J1861" s="487" t="s">
        <v>1047</v>
      </c>
      <c r="K1861" s="394" t="str">
        <f t="shared" si="96"/>
        <v>XXX456080001XX</v>
      </c>
      <c r="L1861" s="183"/>
      <c r="M1861" s="484" t="s">
        <v>704</v>
      </c>
      <c r="N1861" s="487">
        <v>3289</v>
      </c>
      <c r="O1861" s="487" t="s">
        <v>2533</v>
      </c>
      <c r="P1861" s="398" t="s">
        <v>574</v>
      </c>
      <c r="Q1861" s="458"/>
      <c r="R1861" s="459"/>
    </row>
    <row r="1862" spans="1:18" ht="96">
      <c r="A1862" s="429">
        <f t="shared" si="97"/>
        <v>1859</v>
      </c>
      <c r="B1862" s="387">
        <v>46171</v>
      </c>
      <c r="C1862" s="388">
        <v>46113</v>
      </c>
      <c r="D1862" s="389" t="s">
        <v>248</v>
      </c>
      <c r="E1862" s="484" t="s">
        <v>758</v>
      </c>
      <c r="F1862" s="491">
        <v>80377.240000000005</v>
      </c>
      <c r="G1862" s="486" t="s">
        <v>2919</v>
      </c>
      <c r="H1862" s="392" t="s">
        <v>738</v>
      </c>
      <c r="I1862" s="484" t="s">
        <v>700</v>
      </c>
      <c r="J1862" s="487" t="s">
        <v>701</v>
      </c>
      <c r="K1862" s="394" t="str">
        <f t="shared" si="96"/>
        <v>XXX759440001XX</v>
      </c>
      <c r="L1862" s="183"/>
      <c r="M1862" s="484" t="s">
        <v>707</v>
      </c>
      <c r="N1862" s="487">
        <v>329</v>
      </c>
      <c r="O1862" s="487" t="s">
        <v>2537</v>
      </c>
      <c r="P1862" s="398" t="s">
        <v>868</v>
      </c>
      <c r="Q1862" s="458"/>
      <c r="R1862" s="459"/>
    </row>
    <row r="1863" spans="1:18" ht="36">
      <c r="A1863" s="429">
        <f t="shared" si="97"/>
        <v>1860</v>
      </c>
      <c r="B1863" s="387">
        <v>46171</v>
      </c>
      <c r="C1863" s="388">
        <v>46143</v>
      </c>
      <c r="D1863" s="389" t="s">
        <v>248</v>
      </c>
      <c r="E1863" s="484" t="s">
        <v>1208</v>
      </c>
      <c r="F1863" s="491">
        <v>5820.68</v>
      </c>
      <c r="G1863" s="486" t="s">
        <v>2920</v>
      </c>
      <c r="H1863" s="389" t="s">
        <v>736</v>
      </c>
      <c r="I1863" s="484" t="s">
        <v>2664</v>
      </c>
      <c r="J1863" s="487" t="s">
        <v>2665</v>
      </c>
      <c r="K1863" s="394" t="str">
        <f t="shared" si="96"/>
        <v>XXX928830001XX</v>
      </c>
      <c r="L1863" s="183"/>
      <c r="M1863" s="484" t="s">
        <v>707</v>
      </c>
      <c r="N1863" s="487">
        <v>21</v>
      </c>
      <c r="O1863" s="487" t="s">
        <v>2538</v>
      </c>
      <c r="P1863" s="398" t="s">
        <v>868</v>
      </c>
      <c r="Q1863" s="458"/>
      <c r="R1863" s="459"/>
    </row>
    <row r="1864" spans="1:18" ht="48">
      <c r="A1864" s="429">
        <f t="shared" si="97"/>
        <v>1861</v>
      </c>
      <c r="B1864" s="387">
        <v>46171</v>
      </c>
      <c r="C1864" s="388">
        <v>46143</v>
      </c>
      <c r="D1864" s="389" t="s">
        <v>248</v>
      </c>
      <c r="E1864" s="484" t="s">
        <v>2254</v>
      </c>
      <c r="F1864" s="491">
        <v>4741.91</v>
      </c>
      <c r="G1864" s="486" t="s">
        <v>2921</v>
      </c>
      <c r="H1864" s="389" t="s">
        <v>737</v>
      </c>
      <c r="I1864" s="484" t="s">
        <v>2123</v>
      </c>
      <c r="J1864" s="487" t="s">
        <v>2124</v>
      </c>
      <c r="K1864" s="394" t="str">
        <f t="shared" si="96"/>
        <v>XXX563670001XX</v>
      </c>
      <c r="L1864" s="183"/>
      <c r="M1864" s="484" t="s">
        <v>707</v>
      </c>
      <c r="N1864" s="487">
        <v>64</v>
      </c>
      <c r="O1864" s="487" t="s">
        <v>2537</v>
      </c>
      <c r="P1864" s="398" t="s">
        <v>868</v>
      </c>
      <c r="Q1864" s="458"/>
      <c r="R1864" s="459"/>
    </row>
    <row r="1865" spans="1:18" ht="72">
      <c r="A1865" s="429">
        <f t="shared" si="97"/>
        <v>1862</v>
      </c>
      <c r="B1865" s="387">
        <v>46171</v>
      </c>
      <c r="C1865" s="388">
        <v>46143</v>
      </c>
      <c r="D1865" s="389" t="s">
        <v>248</v>
      </c>
      <c r="E1865" s="484" t="s">
        <v>1213</v>
      </c>
      <c r="F1865" s="491">
        <v>5500</v>
      </c>
      <c r="G1865" s="486" t="s">
        <v>2922</v>
      </c>
      <c r="H1865" s="392" t="s">
        <v>736</v>
      </c>
      <c r="I1865" s="484" t="s">
        <v>2666</v>
      </c>
      <c r="J1865" s="487" t="s">
        <v>2667</v>
      </c>
      <c r="K1865" s="394" t="str">
        <f t="shared" si="96"/>
        <v>XXX523740001XX</v>
      </c>
      <c r="L1865" s="183"/>
      <c r="M1865" s="484" t="s">
        <v>707</v>
      </c>
      <c r="N1865" s="487">
        <v>1</v>
      </c>
      <c r="O1865" s="487" t="s">
        <v>2537</v>
      </c>
      <c r="P1865" s="398" t="s">
        <v>868</v>
      </c>
      <c r="Q1865" s="458"/>
      <c r="R1865" s="459"/>
    </row>
    <row r="1866" spans="1:18" ht="48">
      <c r="A1866" s="429">
        <f t="shared" si="97"/>
        <v>1863</v>
      </c>
      <c r="B1866" s="387">
        <v>46171</v>
      </c>
      <c r="C1866" s="388">
        <v>46143</v>
      </c>
      <c r="D1866" s="389" t="s">
        <v>248</v>
      </c>
      <c r="E1866" s="60" t="s">
        <v>78</v>
      </c>
      <c r="F1866" s="491">
        <v>700</v>
      </c>
      <c r="G1866" s="486" t="s">
        <v>2923</v>
      </c>
      <c r="H1866" s="462" t="s">
        <v>737</v>
      </c>
      <c r="I1866" s="484" t="s">
        <v>2160</v>
      </c>
      <c r="J1866" s="487" t="s">
        <v>2161</v>
      </c>
      <c r="K1866" s="394" t="str">
        <f t="shared" si="96"/>
        <v>XXX450660001XX</v>
      </c>
      <c r="L1866" s="183"/>
      <c r="M1866" s="484" t="s">
        <v>719</v>
      </c>
      <c r="N1866" s="487">
        <v>25</v>
      </c>
      <c r="O1866" s="487" t="s">
        <v>2537</v>
      </c>
      <c r="P1866" s="398" t="s">
        <v>868</v>
      </c>
      <c r="Q1866" s="458"/>
      <c r="R1866" s="459"/>
    </row>
    <row r="1867" spans="1:18" ht="48">
      <c r="A1867" s="429">
        <f t="shared" si="97"/>
        <v>1864</v>
      </c>
      <c r="B1867" s="387">
        <v>46171</v>
      </c>
      <c r="C1867" s="388">
        <v>46143</v>
      </c>
      <c r="D1867" s="389" t="s">
        <v>248</v>
      </c>
      <c r="E1867" s="484" t="s">
        <v>2676</v>
      </c>
      <c r="F1867" s="491">
        <v>266.25</v>
      </c>
      <c r="G1867" s="486" t="s">
        <v>2924</v>
      </c>
      <c r="H1867" s="462" t="s">
        <v>736</v>
      </c>
      <c r="I1867" s="484" t="s">
        <v>2668</v>
      </c>
      <c r="J1867" s="487" t="s">
        <v>2669</v>
      </c>
      <c r="K1867" s="394" t="str">
        <f t="shared" si="96"/>
        <v>XXX197150001XX</v>
      </c>
      <c r="L1867" s="183"/>
      <c r="M1867" s="484" t="s">
        <v>707</v>
      </c>
      <c r="N1867" s="487">
        <v>26</v>
      </c>
      <c r="O1867" s="487" t="s">
        <v>2539</v>
      </c>
      <c r="P1867" s="398" t="s">
        <v>868</v>
      </c>
      <c r="Q1867" s="458"/>
      <c r="R1867" s="459"/>
    </row>
    <row r="1868" spans="1:18" ht="48">
      <c r="A1868" s="429">
        <f t="shared" si="97"/>
        <v>1865</v>
      </c>
      <c r="B1868" s="387">
        <v>46171</v>
      </c>
      <c r="C1868" s="388">
        <v>46143</v>
      </c>
      <c r="D1868" s="389" t="s">
        <v>248</v>
      </c>
      <c r="E1868" s="484" t="s">
        <v>2676</v>
      </c>
      <c r="F1868" s="491">
        <v>2520</v>
      </c>
      <c r="G1868" s="486" t="s">
        <v>2924</v>
      </c>
      <c r="H1868" s="462" t="s">
        <v>736</v>
      </c>
      <c r="I1868" s="484" t="s">
        <v>2668</v>
      </c>
      <c r="J1868" s="487" t="s">
        <v>2669</v>
      </c>
      <c r="K1868" s="394" t="str">
        <f t="shared" si="96"/>
        <v>XXX197150001XX</v>
      </c>
      <c r="L1868" s="183"/>
      <c r="M1868" s="484" t="s">
        <v>707</v>
      </c>
      <c r="N1868" s="487">
        <v>25</v>
      </c>
      <c r="O1868" s="487" t="s">
        <v>2532</v>
      </c>
      <c r="P1868" s="398" t="s">
        <v>868</v>
      </c>
      <c r="Q1868" s="458"/>
      <c r="R1868" s="459"/>
    </row>
    <row r="1869" spans="1:18" ht="36">
      <c r="A1869" s="429">
        <f t="shared" si="97"/>
        <v>1866</v>
      </c>
      <c r="B1869" s="387">
        <v>46171</v>
      </c>
      <c r="C1869" s="388">
        <v>46143</v>
      </c>
      <c r="D1869" s="389" t="s">
        <v>248</v>
      </c>
      <c r="E1869" s="484" t="s">
        <v>1551</v>
      </c>
      <c r="F1869" s="491">
        <v>965.2</v>
      </c>
      <c r="G1869" s="486" t="s">
        <v>2925</v>
      </c>
      <c r="H1869" s="389" t="s">
        <v>737</v>
      </c>
      <c r="I1869" s="484" t="s">
        <v>2252</v>
      </c>
      <c r="J1869" s="487" t="s">
        <v>2253</v>
      </c>
      <c r="K1869" s="394" t="str">
        <f t="shared" si="96"/>
        <v>XXX993310001XX</v>
      </c>
      <c r="L1869" s="183"/>
      <c r="M1869" s="484" t="s">
        <v>707</v>
      </c>
      <c r="N1869" s="487">
        <v>55</v>
      </c>
      <c r="O1869" s="487" t="s">
        <v>2540</v>
      </c>
      <c r="P1869" s="398" t="s">
        <v>868</v>
      </c>
      <c r="Q1869" s="458"/>
      <c r="R1869" s="459"/>
    </row>
    <row r="1870" spans="1:18" ht="48">
      <c r="A1870" s="429">
        <f t="shared" si="97"/>
        <v>1867</v>
      </c>
      <c r="B1870" s="387">
        <v>46171</v>
      </c>
      <c r="C1870" s="388">
        <v>46113</v>
      </c>
      <c r="D1870" s="389" t="s">
        <v>248</v>
      </c>
      <c r="E1870" s="484" t="s">
        <v>1552</v>
      </c>
      <c r="F1870" s="491">
        <v>11875</v>
      </c>
      <c r="G1870" s="486" t="s">
        <v>2926</v>
      </c>
      <c r="H1870" s="389" t="s">
        <v>736</v>
      </c>
      <c r="I1870" s="484" t="s">
        <v>2670</v>
      </c>
      <c r="J1870" s="487" t="s">
        <v>2671</v>
      </c>
      <c r="K1870" s="394" t="str">
        <f t="shared" si="96"/>
        <v>XXX574770001XX</v>
      </c>
      <c r="L1870" s="183"/>
      <c r="M1870" s="484" t="s">
        <v>719</v>
      </c>
      <c r="N1870" s="487">
        <v>18</v>
      </c>
      <c r="O1870" s="487" t="s">
        <v>2536</v>
      </c>
      <c r="P1870" s="398" t="s">
        <v>868</v>
      </c>
      <c r="Q1870" s="458"/>
      <c r="R1870" s="459"/>
    </row>
    <row r="1871" spans="1:18" ht="84">
      <c r="A1871" s="429">
        <f t="shared" si="97"/>
        <v>1868</v>
      </c>
      <c r="B1871" s="387">
        <v>46171</v>
      </c>
      <c r="C1871" s="388">
        <v>46143</v>
      </c>
      <c r="D1871" s="389" t="s">
        <v>248</v>
      </c>
      <c r="E1871" s="484" t="s">
        <v>1550</v>
      </c>
      <c r="F1871" s="491">
        <v>1212.68</v>
      </c>
      <c r="G1871" s="486" t="s">
        <v>2927</v>
      </c>
      <c r="H1871" s="389" t="s">
        <v>736</v>
      </c>
      <c r="I1871" s="484" t="s">
        <v>686</v>
      </c>
      <c r="J1871" s="487" t="s">
        <v>687</v>
      </c>
      <c r="K1871" s="394" t="str">
        <f t="shared" si="96"/>
        <v>XXX900500001XX</v>
      </c>
      <c r="L1871" s="183"/>
      <c r="M1871" s="484" t="s">
        <v>719</v>
      </c>
      <c r="N1871" s="487">
        <v>2363</v>
      </c>
      <c r="O1871" s="487" t="s">
        <v>2535</v>
      </c>
      <c r="P1871" s="398" t="s">
        <v>868</v>
      </c>
      <c r="Q1871" s="458"/>
      <c r="R1871" s="459"/>
    </row>
    <row r="1872" spans="1:18" ht="60">
      <c r="A1872" s="429">
        <f t="shared" si="97"/>
        <v>1869</v>
      </c>
      <c r="B1872" s="387">
        <v>46171</v>
      </c>
      <c r="C1872" s="388">
        <v>46143</v>
      </c>
      <c r="D1872" s="389" t="s">
        <v>248</v>
      </c>
      <c r="E1872" s="484" t="s">
        <v>2676</v>
      </c>
      <c r="F1872" s="491">
        <v>2329.6999999999998</v>
      </c>
      <c r="G1872" s="486" t="s">
        <v>2928</v>
      </c>
      <c r="H1872" s="462" t="s">
        <v>736</v>
      </c>
      <c r="I1872" s="484" t="s">
        <v>2668</v>
      </c>
      <c r="J1872" s="487" t="s">
        <v>2669</v>
      </c>
      <c r="K1872" s="394" t="str">
        <f t="shared" si="96"/>
        <v>XXX197150001XX</v>
      </c>
      <c r="L1872" s="183"/>
      <c r="M1872" s="484" t="s">
        <v>707</v>
      </c>
      <c r="N1872" s="487">
        <v>25</v>
      </c>
      <c r="O1872" s="487" t="s">
        <v>2539</v>
      </c>
      <c r="P1872" s="398" t="s">
        <v>868</v>
      </c>
      <c r="Q1872" s="458"/>
      <c r="R1872" s="459"/>
    </row>
    <row r="1873" spans="1:18" ht="60">
      <c r="A1873" s="429">
        <f t="shared" si="97"/>
        <v>1870</v>
      </c>
      <c r="B1873" s="387">
        <v>46171</v>
      </c>
      <c r="C1873" s="388">
        <v>46143</v>
      </c>
      <c r="D1873" s="389" t="s">
        <v>248</v>
      </c>
      <c r="E1873" s="484" t="s">
        <v>1551</v>
      </c>
      <c r="F1873" s="491">
        <v>2395.8000000000002</v>
      </c>
      <c r="G1873" s="486" t="s">
        <v>2413</v>
      </c>
      <c r="H1873" s="389" t="s">
        <v>737</v>
      </c>
      <c r="I1873" s="484" t="s">
        <v>2211</v>
      </c>
      <c r="J1873" s="487" t="s">
        <v>2212</v>
      </c>
      <c r="K1873" s="394" t="str">
        <f t="shared" si="96"/>
        <v>XXX280750001XX</v>
      </c>
      <c r="L1873" s="183"/>
      <c r="M1873" s="484" t="s">
        <v>707</v>
      </c>
      <c r="N1873" s="487">
        <v>118</v>
      </c>
      <c r="O1873" s="487" t="s">
        <v>2539</v>
      </c>
      <c r="P1873" s="398" t="s">
        <v>868</v>
      </c>
      <c r="Q1873" s="458"/>
      <c r="R1873" s="459"/>
    </row>
    <row r="1874" spans="1:18" ht="36">
      <c r="A1874" s="429">
        <f t="shared" si="97"/>
        <v>1871</v>
      </c>
      <c r="B1874" s="387">
        <v>46171</v>
      </c>
      <c r="C1874" s="388">
        <v>46143</v>
      </c>
      <c r="D1874" s="389" t="s">
        <v>248</v>
      </c>
      <c r="E1874" s="484" t="s">
        <v>2675</v>
      </c>
      <c r="F1874" s="491">
        <v>771.68</v>
      </c>
      <c r="G1874" s="486" t="s">
        <v>2929</v>
      </c>
      <c r="H1874" s="389" t="s">
        <v>736</v>
      </c>
      <c r="I1874" s="484" t="s">
        <v>2636</v>
      </c>
      <c r="J1874" s="487" t="s">
        <v>2637</v>
      </c>
      <c r="K1874" s="394" t="str">
        <f t="shared" si="96"/>
        <v>XXX144960001XX</v>
      </c>
      <c r="L1874" s="183"/>
      <c r="M1874" s="484" t="s">
        <v>707</v>
      </c>
      <c r="N1874" s="487">
        <v>16</v>
      </c>
      <c r="O1874" s="487" t="s">
        <v>2539</v>
      </c>
      <c r="P1874" s="398" t="s">
        <v>868</v>
      </c>
      <c r="Q1874" s="458"/>
      <c r="R1874" s="459"/>
    </row>
    <row r="1875" spans="1:18" ht="36">
      <c r="A1875" s="429">
        <f t="shared" si="97"/>
        <v>1872</v>
      </c>
      <c r="B1875" s="387">
        <v>46171</v>
      </c>
      <c r="C1875" s="388">
        <v>46113</v>
      </c>
      <c r="D1875" s="389" t="s">
        <v>248</v>
      </c>
      <c r="E1875" s="484" t="s">
        <v>590</v>
      </c>
      <c r="F1875" s="491">
        <v>1500</v>
      </c>
      <c r="G1875" s="486" t="s">
        <v>2930</v>
      </c>
      <c r="H1875" s="389" t="s">
        <v>736</v>
      </c>
      <c r="I1875" s="484" t="s">
        <v>2228</v>
      </c>
      <c r="J1875" s="487" t="s">
        <v>2229</v>
      </c>
      <c r="K1875" s="394" t="str">
        <f t="shared" si="96"/>
        <v>XXX091300001XX</v>
      </c>
      <c r="L1875" s="183"/>
      <c r="M1875" s="484" t="s">
        <v>707</v>
      </c>
      <c r="N1875" s="487">
        <v>17</v>
      </c>
      <c r="O1875" s="487" t="s">
        <v>2538</v>
      </c>
      <c r="P1875" s="398" t="s">
        <v>868</v>
      </c>
      <c r="Q1875" s="458"/>
      <c r="R1875" s="459"/>
    </row>
    <row r="1876" spans="1:18" ht="36">
      <c r="A1876" s="429">
        <f t="shared" si="97"/>
        <v>1873</v>
      </c>
      <c r="B1876" s="387">
        <v>46171</v>
      </c>
      <c r="C1876" s="388">
        <v>46113</v>
      </c>
      <c r="D1876" s="389" t="s">
        <v>248</v>
      </c>
      <c r="E1876" s="484" t="s">
        <v>590</v>
      </c>
      <c r="F1876" s="491">
        <v>1080</v>
      </c>
      <c r="G1876" s="486" t="s">
        <v>2931</v>
      </c>
      <c r="H1876" s="389" t="s">
        <v>736</v>
      </c>
      <c r="I1876" s="484" t="s">
        <v>2228</v>
      </c>
      <c r="J1876" s="487" t="s">
        <v>2229</v>
      </c>
      <c r="K1876" s="394" t="str">
        <f t="shared" si="96"/>
        <v>XXX091300001XX</v>
      </c>
      <c r="L1876" s="183"/>
      <c r="M1876" s="484" t="s">
        <v>707</v>
      </c>
      <c r="N1876" s="487">
        <v>18</v>
      </c>
      <c r="O1876" s="487" t="s">
        <v>2538</v>
      </c>
      <c r="P1876" s="398" t="s">
        <v>868</v>
      </c>
      <c r="Q1876" s="458"/>
      <c r="R1876" s="459"/>
    </row>
    <row r="1877" spans="1:18" ht="36">
      <c r="A1877" s="429">
        <f t="shared" si="97"/>
        <v>1874</v>
      </c>
      <c r="B1877" s="387">
        <v>46171</v>
      </c>
      <c r="C1877" s="388">
        <v>46143</v>
      </c>
      <c r="D1877" s="389" t="s">
        <v>248</v>
      </c>
      <c r="E1877" s="484" t="s">
        <v>1551</v>
      </c>
      <c r="F1877" s="491">
        <v>1016</v>
      </c>
      <c r="G1877" s="486" t="s">
        <v>2925</v>
      </c>
      <c r="H1877" s="389" t="s">
        <v>737</v>
      </c>
      <c r="I1877" s="484" t="s">
        <v>2133</v>
      </c>
      <c r="J1877" s="487" t="s">
        <v>2134</v>
      </c>
      <c r="K1877" s="394" t="str">
        <f t="shared" ref="K1877:K1900" si="98">IF(J1877="","",IF(LEN(J1877)&gt;14,IF(ISBLANK(J1877),"",J1877),REPLACE(REPLACE(J1877,1,3,"XXX"),13,2,"XX")))</f>
        <v>XXX875400001XX</v>
      </c>
      <c r="L1877" s="183"/>
      <c r="M1877" s="484" t="s">
        <v>707</v>
      </c>
      <c r="N1877" s="487">
        <v>22</v>
      </c>
      <c r="O1877" s="487" t="s">
        <v>2538</v>
      </c>
      <c r="P1877" s="398" t="s">
        <v>868</v>
      </c>
      <c r="Q1877" s="458"/>
      <c r="R1877" s="459"/>
    </row>
    <row r="1878" spans="1:18" ht="84">
      <c r="A1878" s="429">
        <f t="shared" si="97"/>
        <v>1875</v>
      </c>
      <c r="B1878" s="387">
        <v>46171</v>
      </c>
      <c r="C1878" s="388">
        <v>46143</v>
      </c>
      <c r="D1878" s="389" t="s">
        <v>248</v>
      </c>
      <c r="E1878" s="484" t="s">
        <v>1550</v>
      </c>
      <c r="F1878" s="491">
        <v>1212.68</v>
      </c>
      <c r="G1878" s="486" t="s">
        <v>2932</v>
      </c>
      <c r="H1878" s="389" t="s">
        <v>736</v>
      </c>
      <c r="I1878" s="484" t="s">
        <v>686</v>
      </c>
      <c r="J1878" s="487" t="s">
        <v>687</v>
      </c>
      <c r="K1878" s="394" t="str">
        <f t="shared" si="98"/>
        <v>XXX900500001XX</v>
      </c>
      <c r="L1878" s="183"/>
      <c r="M1878" s="484" t="s">
        <v>719</v>
      </c>
      <c r="N1878" s="487">
        <v>2397</v>
      </c>
      <c r="O1878" s="487" t="s">
        <v>2536</v>
      </c>
      <c r="P1878" s="398" t="s">
        <v>868</v>
      </c>
      <c r="Q1878" s="458"/>
      <c r="R1878" s="459"/>
    </row>
    <row r="1879" spans="1:18" ht="36">
      <c r="A1879" s="429">
        <f t="shared" si="97"/>
        <v>1876</v>
      </c>
      <c r="B1879" s="387">
        <v>46171</v>
      </c>
      <c r="C1879" s="388">
        <v>46143</v>
      </c>
      <c r="D1879" s="389" t="s">
        <v>248</v>
      </c>
      <c r="E1879" s="484" t="s">
        <v>1211</v>
      </c>
      <c r="F1879" s="491">
        <v>8075</v>
      </c>
      <c r="G1879" s="486" t="s">
        <v>2933</v>
      </c>
      <c r="H1879" s="389" t="s">
        <v>278</v>
      </c>
      <c r="I1879" s="484" t="s">
        <v>1165</v>
      </c>
      <c r="J1879" s="487" t="s">
        <v>1166</v>
      </c>
      <c r="K1879" s="394" t="str">
        <f t="shared" si="98"/>
        <v>XXX502630001XX</v>
      </c>
      <c r="L1879" s="183"/>
      <c r="M1879" s="484" t="s">
        <v>707</v>
      </c>
      <c r="N1879" s="487">
        <v>22</v>
      </c>
      <c r="O1879" s="487" t="s">
        <v>2553</v>
      </c>
      <c r="P1879" s="398" t="s">
        <v>868</v>
      </c>
      <c r="Q1879" s="458"/>
      <c r="R1879" s="459"/>
    </row>
    <row r="1880" spans="1:18" ht="48">
      <c r="A1880" s="429">
        <f t="shared" si="97"/>
        <v>1877</v>
      </c>
      <c r="B1880" s="387">
        <v>46171</v>
      </c>
      <c r="C1880" s="388">
        <v>46143</v>
      </c>
      <c r="D1880" s="389" t="s">
        <v>248</v>
      </c>
      <c r="E1880" s="59" t="s">
        <v>170</v>
      </c>
      <c r="F1880" s="491">
        <v>4588.6099999999997</v>
      </c>
      <c r="G1880" s="486" t="s">
        <v>1655</v>
      </c>
      <c r="H1880" s="392" t="s">
        <v>278</v>
      </c>
      <c r="I1880" s="484" t="s">
        <v>660</v>
      </c>
      <c r="J1880" s="487" t="s">
        <v>661</v>
      </c>
      <c r="K1880" s="394" t="str">
        <f t="shared" si="98"/>
        <v>XXX500340001XX</v>
      </c>
      <c r="L1880" s="183"/>
      <c r="M1880" s="484" t="s">
        <v>707</v>
      </c>
      <c r="N1880" s="487">
        <v>47</v>
      </c>
      <c r="O1880" s="487" t="s">
        <v>2537</v>
      </c>
      <c r="P1880" s="398" t="s">
        <v>868</v>
      </c>
      <c r="Q1880" s="458"/>
      <c r="R1880" s="459"/>
    </row>
    <row r="1881" spans="1:18" ht="36">
      <c r="A1881" s="429">
        <f t="shared" si="97"/>
        <v>1878</v>
      </c>
      <c r="B1881" s="387">
        <v>46171</v>
      </c>
      <c r="C1881" s="388">
        <v>46113</v>
      </c>
      <c r="D1881" s="389" t="s">
        <v>166</v>
      </c>
      <c r="E1881" s="484" t="s">
        <v>1217</v>
      </c>
      <c r="F1881" s="491">
        <v>4180.18</v>
      </c>
      <c r="G1881" s="486" t="s">
        <v>2934</v>
      </c>
      <c r="H1881" s="389" t="s">
        <v>166</v>
      </c>
      <c r="I1881" s="484" t="s">
        <v>1129</v>
      </c>
      <c r="J1881" s="487" t="s">
        <v>1130</v>
      </c>
      <c r="K1881" s="394" t="str">
        <f t="shared" si="98"/>
        <v>XXX860740001XX</v>
      </c>
      <c r="L1881" s="183"/>
      <c r="M1881" s="484" t="s">
        <v>704</v>
      </c>
      <c r="N1881" s="487">
        <v>266524195</v>
      </c>
      <c r="O1881" s="487" t="s">
        <v>2532</v>
      </c>
      <c r="P1881" s="398" t="s">
        <v>574</v>
      </c>
      <c r="Q1881" s="458"/>
      <c r="R1881" s="459"/>
    </row>
    <row r="1882" spans="1:18" ht="36">
      <c r="A1882" s="429">
        <f t="shared" si="97"/>
        <v>1879</v>
      </c>
      <c r="B1882" s="387">
        <v>46171</v>
      </c>
      <c r="C1882" s="388">
        <v>46143</v>
      </c>
      <c r="D1882" s="389" t="s">
        <v>248</v>
      </c>
      <c r="E1882" s="484" t="s">
        <v>607</v>
      </c>
      <c r="F1882" s="491">
        <v>61.02</v>
      </c>
      <c r="G1882" s="486" t="s">
        <v>2935</v>
      </c>
      <c r="H1882" s="453" t="s">
        <v>736</v>
      </c>
      <c r="I1882" s="398" t="s">
        <v>2953</v>
      </c>
      <c r="J1882" s="399" t="s">
        <v>2954</v>
      </c>
      <c r="K1882" s="394" t="str">
        <f t="shared" si="98"/>
        <v>26.068.130/0003-11</v>
      </c>
      <c r="L1882" s="183"/>
      <c r="M1882" s="484" t="s">
        <v>710</v>
      </c>
      <c r="N1882" s="487">
        <v>369615</v>
      </c>
      <c r="O1882" s="487" t="s">
        <v>2545</v>
      </c>
      <c r="P1882" s="391" t="s">
        <v>2525</v>
      </c>
      <c r="Q1882" s="458"/>
      <c r="R1882" s="459"/>
    </row>
    <row r="1883" spans="1:18" ht="60">
      <c r="A1883" s="429">
        <f t="shared" si="97"/>
        <v>1880</v>
      </c>
      <c r="B1883" s="387">
        <v>46171</v>
      </c>
      <c r="C1883" s="388">
        <v>46143</v>
      </c>
      <c r="D1883" s="389" t="s">
        <v>353</v>
      </c>
      <c r="E1883" s="39" t="s">
        <v>153</v>
      </c>
      <c r="F1883" s="491">
        <v>50000</v>
      </c>
      <c r="G1883" s="486" t="s">
        <v>2936</v>
      </c>
      <c r="H1883" s="389" t="s">
        <v>280</v>
      </c>
      <c r="I1883" s="394" t="s">
        <v>744</v>
      </c>
      <c r="J1883" s="455">
        <v>7837375000150</v>
      </c>
      <c r="K1883" s="394" t="str">
        <f t="shared" si="98"/>
        <v>XXX737500015XX</v>
      </c>
      <c r="L1883" s="183"/>
      <c r="M1883" s="484" t="s">
        <v>708</v>
      </c>
      <c r="N1883" s="487">
        <v>202617</v>
      </c>
      <c r="O1883" s="487" t="s">
        <v>2546</v>
      </c>
      <c r="P1883" s="398" t="s">
        <v>574</v>
      </c>
      <c r="Q1883" s="458"/>
      <c r="R1883" s="459"/>
    </row>
    <row r="1884" spans="1:18" ht="48">
      <c r="A1884" s="429">
        <f t="shared" si="97"/>
        <v>1881</v>
      </c>
      <c r="B1884" s="387">
        <v>46171</v>
      </c>
      <c r="C1884" s="388">
        <v>46143</v>
      </c>
      <c r="D1884" s="389" t="s">
        <v>353</v>
      </c>
      <c r="E1884" s="39" t="s">
        <v>153</v>
      </c>
      <c r="F1884" s="491">
        <v>181500</v>
      </c>
      <c r="G1884" s="486" t="s">
        <v>2937</v>
      </c>
      <c r="H1884" s="389" t="s">
        <v>280</v>
      </c>
      <c r="I1884" s="394" t="s">
        <v>744</v>
      </c>
      <c r="J1884" s="455">
        <v>7837375000150</v>
      </c>
      <c r="K1884" s="394" t="str">
        <f t="shared" si="98"/>
        <v>XXX737500015XX</v>
      </c>
      <c r="L1884" s="183"/>
      <c r="M1884" s="484" t="s">
        <v>708</v>
      </c>
      <c r="N1884" s="487">
        <v>17</v>
      </c>
      <c r="O1884" s="487" t="s">
        <v>2544</v>
      </c>
      <c r="P1884" s="398" t="s">
        <v>574</v>
      </c>
      <c r="Q1884" s="458"/>
      <c r="R1884" s="459"/>
    </row>
    <row r="1885" spans="1:18" ht="36">
      <c r="A1885" s="429">
        <f t="shared" si="97"/>
        <v>1882</v>
      </c>
      <c r="B1885" s="387">
        <v>46171</v>
      </c>
      <c r="C1885" s="388">
        <v>46113</v>
      </c>
      <c r="D1885" s="389" t="s">
        <v>248</v>
      </c>
      <c r="E1885" s="484" t="s">
        <v>599</v>
      </c>
      <c r="F1885" s="491">
        <v>3780.18</v>
      </c>
      <c r="G1885" s="486" t="s">
        <v>2714</v>
      </c>
      <c r="H1885" s="389" t="s">
        <v>736</v>
      </c>
      <c r="I1885" s="484" t="s">
        <v>1481</v>
      </c>
      <c r="J1885" s="487" t="s">
        <v>1482</v>
      </c>
      <c r="K1885" s="394" t="str">
        <f t="shared" si="98"/>
        <v>XXX582120001XX</v>
      </c>
      <c r="L1885" s="183"/>
      <c r="M1885" s="484" t="s">
        <v>707</v>
      </c>
      <c r="N1885" s="487">
        <v>63</v>
      </c>
      <c r="O1885" s="487" t="s">
        <v>2540</v>
      </c>
      <c r="P1885" s="398" t="s">
        <v>868</v>
      </c>
      <c r="Q1885" s="458"/>
      <c r="R1885" s="459"/>
    </row>
    <row r="1886" spans="1:18" ht="36">
      <c r="A1886" s="429">
        <f t="shared" si="97"/>
        <v>1883</v>
      </c>
      <c r="B1886" s="387">
        <v>46171</v>
      </c>
      <c r="C1886" s="388">
        <v>46143</v>
      </c>
      <c r="D1886" s="389" t="s">
        <v>248</v>
      </c>
      <c r="E1886" s="484" t="s">
        <v>1551</v>
      </c>
      <c r="F1886" s="491">
        <v>798</v>
      </c>
      <c r="G1886" s="486" t="s">
        <v>2938</v>
      </c>
      <c r="H1886" s="389" t="s">
        <v>737</v>
      </c>
      <c r="I1886" s="484" t="s">
        <v>2672</v>
      </c>
      <c r="J1886" s="487" t="s">
        <v>2673</v>
      </c>
      <c r="K1886" s="394" t="str">
        <f t="shared" si="98"/>
        <v>XXX31733661 XX</v>
      </c>
      <c r="L1886" s="183"/>
      <c r="M1886" s="484" t="s">
        <v>707</v>
      </c>
      <c r="N1886" s="487">
        <v>90</v>
      </c>
      <c r="O1886" s="487" t="s">
        <v>2539</v>
      </c>
      <c r="P1886" s="398" t="s">
        <v>868</v>
      </c>
      <c r="Q1886" s="458"/>
      <c r="R1886" s="459"/>
    </row>
    <row r="1887" spans="1:18" ht="36">
      <c r="A1887" s="429">
        <f t="shared" si="97"/>
        <v>1884</v>
      </c>
      <c r="B1887" s="387">
        <v>46171</v>
      </c>
      <c r="C1887" s="388">
        <v>46143</v>
      </c>
      <c r="D1887" s="389" t="s">
        <v>248</v>
      </c>
      <c r="E1887" s="484" t="s">
        <v>594</v>
      </c>
      <c r="F1887" s="491">
        <v>8075</v>
      </c>
      <c r="G1887" s="486" t="s">
        <v>2939</v>
      </c>
      <c r="H1887" s="462" t="s">
        <v>737</v>
      </c>
      <c r="I1887" s="484" t="s">
        <v>2135</v>
      </c>
      <c r="J1887" s="487" t="s">
        <v>2136</v>
      </c>
      <c r="K1887" s="394" t="str">
        <f t="shared" si="98"/>
        <v>XXX992210001XX</v>
      </c>
      <c r="L1887" s="183"/>
      <c r="M1887" s="484" t="s">
        <v>707</v>
      </c>
      <c r="N1887" s="487">
        <v>23</v>
      </c>
      <c r="O1887" s="487" t="s">
        <v>2536</v>
      </c>
      <c r="P1887" s="398" t="s">
        <v>868</v>
      </c>
      <c r="Q1887" s="458"/>
      <c r="R1887" s="459"/>
    </row>
    <row r="1888" spans="1:18" ht="36">
      <c r="A1888" s="429">
        <f t="shared" si="97"/>
        <v>1885</v>
      </c>
      <c r="B1888" s="387">
        <v>46171</v>
      </c>
      <c r="C1888" s="388">
        <v>46143</v>
      </c>
      <c r="D1888" s="389" t="s">
        <v>353</v>
      </c>
      <c r="E1888" s="39" t="s">
        <v>334</v>
      </c>
      <c r="F1888" s="491">
        <v>180000</v>
      </c>
      <c r="G1888" s="486" t="s">
        <v>2940</v>
      </c>
      <c r="H1888" s="389" t="s">
        <v>280</v>
      </c>
      <c r="I1888" s="394" t="s">
        <v>744</v>
      </c>
      <c r="J1888" s="455">
        <v>7837375000150</v>
      </c>
      <c r="K1888" s="394" t="str">
        <f t="shared" si="98"/>
        <v>XXX737500015XX</v>
      </c>
      <c r="L1888" s="183"/>
      <c r="M1888" s="484" t="s">
        <v>719</v>
      </c>
      <c r="N1888" s="487">
        <v>52026</v>
      </c>
      <c r="O1888" s="487" t="s">
        <v>2546</v>
      </c>
      <c r="P1888" s="484" t="s">
        <v>2948</v>
      </c>
      <c r="Q1888" s="458"/>
      <c r="R1888" s="459"/>
    </row>
    <row r="1889" spans="1:18" ht="24">
      <c r="A1889" s="429">
        <f t="shared" si="97"/>
        <v>1886</v>
      </c>
      <c r="B1889" s="387">
        <v>46173</v>
      </c>
      <c r="C1889" s="388">
        <v>46143</v>
      </c>
      <c r="D1889" s="389" t="s">
        <v>353</v>
      </c>
      <c r="E1889" s="39" t="s">
        <v>336</v>
      </c>
      <c r="F1889" s="491">
        <v>3064.66</v>
      </c>
      <c r="G1889" s="486" t="s">
        <v>2941</v>
      </c>
      <c r="H1889" s="389" t="s">
        <v>280</v>
      </c>
      <c r="I1889" s="394" t="s">
        <v>744</v>
      </c>
      <c r="J1889" s="455">
        <v>7837375000150</v>
      </c>
      <c r="K1889" s="394" t="str">
        <f t="shared" si="98"/>
        <v>XXX737500015XX</v>
      </c>
      <c r="L1889" s="183"/>
      <c r="M1889" s="484" t="s">
        <v>734</v>
      </c>
      <c r="N1889" s="487">
        <v>52026</v>
      </c>
      <c r="O1889" s="487" t="s">
        <v>2546</v>
      </c>
      <c r="P1889" s="398" t="s">
        <v>573</v>
      </c>
      <c r="Q1889" s="458"/>
      <c r="R1889" s="459"/>
    </row>
    <row r="1890" spans="1:18" ht="24">
      <c r="A1890" s="429">
        <f t="shared" si="97"/>
        <v>1887</v>
      </c>
      <c r="B1890" s="387">
        <v>46173</v>
      </c>
      <c r="C1890" s="388">
        <v>46143</v>
      </c>
      <c r="D1890" s="389" t="s">
        <v>353</v>
      </c>
      <c r="E1890" s="39" t="s">
        <v>336</v>
      </c>
      <c r="F1890" s="491">
        <v>57184.4</v>
      </c>
      <c r="G1890" s="486" t="s">
        <v>2941</v>
      </c>
      <c r="H1890" s="389" t="s">
        <v>280</v>
      </c>
      <c r="I1890" s="394" t="s">
        <v>744</v>
      </c>
      <c r="J1890" s="455">
        <v>7837375000150</v>
      </c>
      <c r="K1890" s="394" t="str">
        <f t="shared" si="98"/>
        <v>XXX737500015XX</v>
      </c>
      <c r="L1890" s="183"/>
      <c r="M1890" s="484" t="s">
        <v>734</v>
      </c>
      <c r="N1890" s="487">
        <v>52026</v>
      </c>
      <c r="O1890" s="487" t="s">
        <v>2546</v>
      </c>
      <c r="P1890" s="398" t="s">
        <v>573</v>
      </c>
      <c r="Q1890" s="458"/>
      <c r="R1890" s="459"/>
    </row>
    <row r="1891" spans="1:18" ht="36">
      <c r="A1891" s="429">
        <f t="shared" si="97"/>
        <v>1888</v>
      </c>
      <c r="B1891" s="387">
        <v>46173</v>
      </c>
      <c r="C1891" s="388">
        <v>46143</v>
      </c>
      <c r="D1891" s="484" t="s">
        <v>339</v>
      </c>
      <c r="E1891" s="484" t="s">
        <v>339</v>
      </c>
      <c r="F1891" s="491">
        <v>3578.11</v>
      </c>
      <c r="G1891" s="486" t="s">
        <v>2941</v>
      </c>
      <c r="H1891" s="389" t="s">
        <v>280</v>
      </c>
      <c r="I1891" s="394" t="s">
        <v>744</v>
      </c>
      <c r="J1891" s="455">
        <v>7837375000150</v>
      </c>
      <c r="K1891" s="394" t="str">
        <f t="shared" si="98"/>
        <v>XXX737500015XX</v>
      </c>
      <c r="L1891" s="183"/>
      <c r="M1891" s="484" t="s">
        <v>728</v>
      </c>
      <c r="N1891" s="487">
        <v>52026</v>
      </c>
      <c r="O1891" s="487" t="s">
        <v>2546</v>
      </c>
      <c r="P1891" s="398" t="s">
        <v>574</v>
      </c>
      <c r="Q1891" s="458"/>
      <c r="R1891" s="459"/>
    </row>
    <row r="1892" spans="1:18" ht="36">
      <c r="A1892" s="429">
        <f t="shared" si="97"/>
        <v>1889</v>
      </c>
      <c r="B1892" s="387">
        <v>46173</v>
      </c>
      <c r="C1892" s="388">
        <v>46143</v>
      </c>
      <c r="D1892" s="484" t="s">
        <v>339</v>
      </c>
      <c r="E1892" s="484" t="s">
        <v>339</v>
      </c>
      <c r="F1892" s="491">
        <v>11832.18</v>
      </c>
      <c r="G1892" s="486" t="s">
        <v>2941</v>
      </c>
      <c r="H1892" s="389" t="s">
        <v>280</v>
      </c>
      <c r="I1892" s="394" t="s">
        <v>744</v>
      </c>
      <c r="J1892" s="455">
        <v>7837375000150</v>
      </c>
      <c r="K1892" s="394" t="str">
        <f t="shared" si="98"/>
        <v>XXX737500015XX</v>
      </c>
      <c r="L1892" s="183"/>
      <c r="M1892" s="484" t="s">
        <v>729</v>
      </c>
      <c r="N1892" s="487">
        <v>52026</v>
      </c>
      <c r="O1892" s="487" t="s">
        <v>2546</v>
      </c>
      <c r="P1892" s="398" t="s">
        <v>572</v>
      </c>
      <c r="Q1892" s="458"/>
      <c r="R1892" s="459"/>
    </row>
    <row r="1893" spans="1:18" ht="36">
      <c r="A1893" s="429">
        <f t="shared" si="97"/>
        <v>1890</v>
      </c>
      <c r="B1893" s="387">
        <v>46173</v>
      </c>
      <c r="C1893" s="388">
        <v>46143</v>
      </c>
      <c r="D1893" s="484" t="s">
        <v>339</v>
      </c>
      <c r="E1893" s="484" t="s">
        <v>339</v>
      </c>
      <c r="F1893" s="491">
        <v>-3500.17</v>
      </c>
      <c r="G1893" s="486" t="s">
        <v>2942</v>
      </c>
      <c r="H1893" s="389" t="s">
        <v>280</v>
      </c>
      <c r="I1893" s="394" t="s">
        <v>744</v>
      </c>
      <c r="J1893" s="455">
        <v>7837375000150</v>
      </c>
      <c r="K1893" s="394" t="str">
        <f t="shared" si="98"/>
        <v>XXX737500015XX</v>
      </c>
      <c r="L1893" s="183"/>
      <c r="M1893" s="484" t="s">
        <v>730</v>
      </c>
      <c r="N1893" s="487">
        <v>52026</v>
      </c>
      <c r="O1893" s="487" t="s">
        <v>2546</v>
      </c>
      <c r="P1893" s="398" t="s">
        <v>572</v>
      </c>
      <c r="Q1893" s="458"/>
      <c r="R1893" s="459"/>
    </row>
    <row r="1894" spans="1:18" ht="36">
      <c r="A1894" s="429">
        <f t="shared" si="97"/>
        <v>1891</v>
      </c>
      <c r="B1894" s="387">
        <v>46173</v>
      </c>
      <c r="C1894" s="388">
        <v>46143</v>
      </c>
      <c r="D1894" s="484" t="s">
        <v>339</v>
      </c>
      <c r="E1894" s="484" t="s">
        <v>339</v>
      </c>
      <c r="F1894" s="491">
        <v>-158.53</v>
      </c>
      <c r="G1894" s="486" t="s">
        <v>2943</v>
      </c>
      <c r="H1894" s="389" t="s">
        <v>280</v>
      </c>
      <c r="I1894" s="394" t="s">
        <v>744</v>
      </c>
      <c r="J1894" s="455">
        <v>7837375000150</v>
      </c>
      <c r="K1894" s="394" t="str">
        <f t="shared" si="98"/>
        <v>XXX737500015XX</v>
      </c>
      <c r="L1894" s="183"/>
      <c r="M1894" s="484" t="s">
        <v>753</v>
      </c>
      <c r="N1894" s="487">
        <v>52026</v>
      </c>
      <c r="O1894" s="487" t="s">
        <v>2546</v>
      </c>
      <c r="P1894" s="398" t="s">
        <v>572</v>
      </c>
      <c r="Q1894" s="458"/>
      <c r="R1894" s="459"/>
    </row>
    <row r="1895" spans="1:18" ht="36">
      <c r="A1895" s="429">
        <f t="shared" si="97"/>
        <v>1892</v>
      </c>
      <c r="B1895" s="387">
        <v>46173</v>
      </c>
      <c r="C1895" s="388">
        <v>46143</v>
      </c>
      <c r="D1895" s="389" t="s">
        <v>353</v>
      </c>
      <c r="E1895" s="39" t="s">
        <v>336</v>
      </c>
      <c r="F1895" s="491">
        <v>-222.35</v>
      </c>
      <c r="G1895" s="486" t="s">
        <v>2944</v>
      </c>
      <c r="H1895" s="389" t="s">
        <v>280</v>
      </c>
      <c r="I1895" s="394" t="s">
        <v>744</v>
      </c>
      <c r="J1895" s="455">
        <v>7837375000150</v>
      </c>
      <c r="K1895" s="394" t="str">
        <f t="shared" si="98"/>
        <v>XXX737500015XX</v>
      </c>
      <c r="L1895" s="183"/>
      <c r="M1895" s="484" t="s">
        <v>731</v>
      </c>
      <c r="N1895" s="487">
        <v>52026</v>
      </c>
      <c r="O1895" s="487" t="s">
        <v>2546</v>
      </c>
      <c r="P1895" s="398" t="s">
        <v>575</v>
      </c>
      <c r="Q1895" s="458"/>
      <c r="R1895" s="459"/>
    </row>
    <row r="1896" spans="1:18" ht="36">
      <c r="A1896" s="429">
        <f t="shared" si="97"/>
        <v>1893</v>
      </c>
      <c r="B1896" s="387">
        <v>46173</v>
      </c>
      <c r="C1896" s="388">
        <v>46143</v>
      </c>
      <c r="D1896" s="389" t="s">
        <v>353</v>
      </c>
      <c r="E1896" s="39" t="s">
        <v>336</v>
      </c>
      <c r="F1896" s="491">
        <v>145.47</v>
      </c>
      <c r="G1896" s="486" t="s">
        <v>2941</v>
      </c>
      <c r="H1896" s="389" t="s">
        <v>280</v>
      </c>
      <c r="I1896" s="394" t="s">
        <v>744</v>
      </c>
      <c r="J1896" s="455">
        <v>7837375000150</v>
      </c>
      <c r="K1896" s="394" t="str">
        <f t="shared" si="98"/>
        <v>XXX737500015XX</v>
      </c>
      <c r="L1896" s="183"/>
      <c r="M1896" s="484" t="s">
        <v>732</v>
      </c>
      <c r="N1896" s="487">
        <v>52026</v>
      </c>
      <c r="O1896" s="487" t="s">
        <v>2546</v>
      </c>
      <c r="P1896" s="398" t="s">
        <v>575</v>
      </c>
      <c r="Q1896" s="458"/>
      <c r="R1896" s="459"/>
    </row>
    <row r="1897" spans="1:18" ht="36">
      <c r="A1897" s="429">
        <f t="shared" si="97"/>
        <v>1894</v>
      </c>
      <c r="B1897" s="387">
        <v>46173</v>
      </c>
      <c r="C1897" s="388">
        <v>46143</v>
      </c>
      <c r="D1897" s="389" t="s">
        <v>353</v>
      </c>
      <c r="E1897" s="39" t="s">
        <v>336</v>
      </c>
      <c r="F1897" s="491">
        <v>-23935.22</v>
      </c>
      <c r="G1897" s="486" t="s">
        <v>2945</v>
      </c>
      <c r="H1897" s="389" t="s">
        <v>280</v>
      </c>
      <c r="I1897" s="394" t="s">
        <v>744</v>
      </c>
      <c r="J1897" s="455">
        <v>7837375000150</v>
      </c>
      <c r="K1897" s="394" t="str">
        <f t="shared" si="98"/>
        <v>XXX737500015XX</v>
      </c>
      <c r="L1897" s="183"/>
      <c r="M1897" s="484" t="s">
        <v>731</v>
      </c>
      <c r="N1897" s="487">
        <v>52026</v>
      </c>
      <c r="O1897" s="487" t="s">
        <v>2546</v>
      </c>
      <c r="P1897" s="398" t="s">
        <v>868</v>
      </c>
      <c r="Q1897" s="458"/>
      <c r="R1897" s="459"/>
    </row>
    <row r="1898" spans="1:18" ht="36">
      <c r="A1898" s="429">
        <f t="shared" si="97"/>
        <v>1895</v>
      </c>
      <c r="B1898" s="387">
        <v>46173</v>
      </c>
      <c r="C1898" s="388">
        <v>46143</v>
      </c>
      <c r="D1898" s="389" t="s">
        <v>353</v>
      </c>
      <c r="E1898" s="39" t="s">
        <v>336</v>
      </c>
      <c r="F1898" s="491">
        <v>27847.86</v>
      </c>
      <c r="G1898" s="486" t="s">
        <v>2946</v>
      </c>
      <c r="H1898" s="389" t="s">
        <v>280</v>
      </c>
      <c r="I1898" s="394" t="s">
        <v>744</v>
      </c>
      <c r="J1898" s="455">
        <v>7837375000150</v>
      </c>
      <c r="K1898" s="394" t="str">
        <f t="shared" si="98"/>
        <v>XXX737500015XX</v>
      </c>
      <c r="L1898" s="183"/>
      <c r="M1898" s="484" t="s">
        <v>733</v>
      </c>
      <c r="N1898" s="487">
        <v>52026</v>
      </c>
      <c r="O1898" s="487" t="s">
        <v>2546</v>
      </c>
      <c r="P1898" s="398" t="s">
        <v>868</v>
      </c>
      <c r="Q1898" s="458"/>
      <c r="R1898" s="459"/>
    </row>
    <row r="1899" spans="1:18" ht="36">
      <c r="A1899" s="429">
        <f t="shared" si="97"/>
        <v>1896</v>
      </c>
      <c r="B1899" s="387">
        <v>46173</v>
      </c>
      <c r="C1899" s="388">
        <v>46143</v>
      </c>
      <c r="D1899" s="389" t="s">
        <v>353</v>
      </c>
      <c r="E1899" s="39" t="s">
        <v>336</v>
      </c>
      <c r="F1899" s="491">
        <v>11767.71</v>
      </c>
      <c r="G1899" s="486" t="s">
        <v>2941</v>
      </c>
      <c r="H1899" s="389" t="s">
        <v>280</v>
      </c>
      <c r="I1899" s="394" t="s">
        <v>744</v>
      </c>
      <c r="J1899" s="455">
        <v>7837375000150</v>
      </c>
      <c r="K1899" s="394" t="str">
        <f t="shared" si="98"/>
        <v>XXX737500015XX</v>
      </c>
      <c r="L1899" s="183"/>
      <c r="M1899" s="484" t="s">
        <v>728</v>
      </c>
      <c r="N1899" s="487">
        <v>52026</v>
      </c>
      <c r="O1899" s="487" t="s">
        <v>2546</v>
      </c>
      <c r="P1899" s="398" t="s">
        <v>1780</v>
      </c>
      <c r="Q1899" s="458"/>
      <c r="R1899" s="459"/>
    </row>
    <row r="1900" spans="1:18" ht="36">
      <c r="A1900" s="429">
        <f t="shared" si="97"/>
        <v>1897</v>
      </c>
      <c r="B1900" s="387">
        <v>46173</v>
      </c>
      <c r="C1900" s="388">
        <v>46143</v>
      </c>
      <c r="D1900" s="389" t="s">
        <v>353</v>
      </c>
      <c r="E1900" s="39" t="s">
        <v>336</v>
      </c>
      <c r="F1900" s="491">
        <v>-6074.28</v>
      </c>
      <c r="G1900" s="486" t="s">
        <v>2942</v>
      </c>
      <c r="H1900" s="389" t="s">
        <v>280</v>
      </c>
      <c r="I1900" s="394" t="s">
        <v>744</v>
      </c>
      <c r="J1900" s="455">
        <v>7837375000150</v>
      </c>
      <c r="K1900" s="394" t="str">
        <f t="shared" si="98"/>
        <v>XXX737500015XX</v>
      </c>
      <c r="L1900" s="183"/>
      <c r="M1900" s="484" t="s">
        <v>730</v>
      </c>
      <c r="N1900" s="487">
        <v>52026</v>
      </c>
      <c r="O1900" s="487" t="s">
        <v>2546</v>
      </c>
      <c r="P1900" s="398" t="s">
        <v>1780</v>
      </c>
      <c r="Q1900" s="458"/>
      <c r="R1900" s="459"/>
    </row>
    <row r="1901" spans="1:18" ht="48">
      <c r="A1901" s="493"/>
      <c r="B1901" s="387">
        <v>46174</v>
      </c>
      <c r="C1901" s="388">
        <v>46143</v>
      </c>
      <c r="D1901" s="495" t="s">
        <v>248</v>
      </c>
      <c r="E1901" s="484" t="s">
        <v>597</v>
      </c>
      <c r="F1901" s="491">
        <v>772.85</v>
      </c>
      <c r="G1901" s="486" t="s">
        <v>3518</v>
      </c>
      <c r="H1901" s="462" t="s">
        <v>738</v>
      </c>
      <c r="I1901" s="484" t="s">
        <v>2583</v>
      </c>
      <c r="J1901" s="487" t="s">
        <v>2584</v>
      </c>
      <c r="K1901" s="183"/>
      <c r="L1901" s="183"/>
      <c r="M1901" s="484" t="s">
        <v>704</v>
      </c>
      <c r="N1901" s="487">
        <v>18747</v>
      </c>
      <c r="O1901" s="487" t="s">
        <v>2118</v>
      </c>
      <c r="P1901" s="484" t="s">
        <v>1553</v>
      </c>
      <c r="Q1901" s="458"/>
      <c r="R1901" s="459"/>
    </row>
    <row r="1902" spans="1:18" ht="48">
      <c r="A1902" s="493"/>
      <c r="B1902" s="387">
        <v>46174</v>
      </c>
      <c r="C1902" s="388">
        <v>46143</v>
      </c>
      <c r="D1902" s="495" t="s">
        <v>248</v>
      </c>
      <c r="E1902" s="484" t="s">
        <v>596</v>
      </c>
      <c r="F1902" s="498">
        <v>11465.7</v>
      </c>
      <c r="G1902" s="486" t="s">
        <v>3519</v>
      </c>
      <c r="H1902" s="389" t="s">
        <v>737</v>
      </c>
      <c r="I1902" s="484" t="s">
        <v>1040</v>
      </c>
      <c r="J1902" s="487" t="s">
        <v>1041</v>
      </c>
      <c r="K1902" s="183"/>
      <c r="L1902" s="183"/>
      <c r="M1902" s="484" t="s">
        <v>707</v>
      </c>
      <c r="N1902" s="487">
        <v>21</v>
      </c>
      <c r="O1902" s="487" t="s">
        <v>2118</v>
      </c>
      <c r="P1902" s="484" t="s">
        <v>1554</v>
      </c>
      <c r="Q1902" s="458"/>
      <c r="R1902" s="459"/>
    </row>
    <row r="1903" spans="1:18" ht="36">
      <c r="A1903" s="493"/>
      <c r="B1903" s="387">
        <v>46174</v>
      </c>
      <c r="C1903" s="388">
        <v>46174</v>
      </c>
      <c r="D1903" s="39" t="s">
        <v>353</v>
      </c>
      <c r="E1903" s="39" t="s">
        <v>153</v>
      </c>
      <c r="F1903" s="498">
        <v>131.06</v>
      </c>
      <c r="G1903" s="486" t="s">
        <v>3520</v>
      </c>
      <c r="H1903" s="389" t="s">
        <v>280</v>
      </c>
      <c r="I1903" s="484" t="s">
        <v>3349</v>
      </c>
      <c r="J1903" s="487" t="s">
        <v>3350</v>
      </c>
      <c r="K1903" s="183"/>
      <c r="L1903" s="183"/>
      <c r="M1903" s="484" t="s">
        <v>707</v>
      </c>
      <c r="N1903" s="487">
        <v>62026</v>
      </c>
      <c r="O1903" s="487" t="s">
        <v>3485</v>
      </c>
      <c r="P1903" s="484" t="s">
        <v>1553</v>
      </c>
      <c r="Q1903" s="458"/>
      <c r="R1903" s="459"/>
    </row>
    <row r="1904" spans="1:18" ht="24">
      <c r="A1904" s="493"/>
      <c r="B1904" s="387">
        <v>46174</v>
      </c>
      <c r="C1904" s="388">
        <v>46174</v>
      </c>
      <c r="D1904" s="495" t="s">
        <v>248</v>
      </c>
      <c r="E1904" s="484" t="s">
        <v>597</v>
      </c>
      <c r="F1904" s="485">
        <v>13.8</v>
      </c>
      <c r="G1904" s="486" t="s">
        <v>3521</v>
      </c>
      <c r="H1904" s="462" t="s">
        <v>278</v>
      </c>
      <c r="I1904" s="484" t="s">
        <v>881</v>
      </c>
      <c r="J1904" s="487" t="s">
        <v>773</v>
      </c>
      <c r="K1904" s="183"/>
      <c r="L1904" s="183"/>
      <c r="M1904" s="484" t="s">
        <v>710</v>
      </c>
      <c r="N1904" s="487">
        <v>347034</v>
      </c>
      <c r="O1904" s="487" t="s">
        <v>3485</v>
      </c>
      <c r="P1904" s="484" t="s">
        <v>735</v>
      </c>
      <c r="Q1904" s="458"/>
      <c r="R1904" s="459"/>
    </row>
    <row r="1905" spans="1:18" ht="36">
      <c r="A1905" s="493"/>
      <c r="B1905" s="387">
        <v>46175</v>
      </c>
      <c r="C1905" s="388">
        <v>46143</v>
      </c>
      <c r="D1905" s="495" t="s">
        <v>248</v>
      </c>
      <c r="E1905" s="484" t="s">
        <v>592</v>
      </c>
      <c r="F1905" s="498">
        <v>1324.05</v>
      </c>
      <c r="G1905" s="486" t="s">
        <v>3522</v>
      </c>
      <c r="H1905" s="462" t="s">
        <v>1418</v>
      </c>
      <c r="I1905" s="484" t="s">
        <v>1153</v>
      </c>
      <c r="J1905" s="487" t="s">
        <v>1154</v>
      </c>
      <c r="K1905" s="183"/>
      <c r="L1905" s="183"/>
      <c r="M1905" s="484" t="s">
        <v>708</v>
      </c>
      <c r="N1905" s="487">
        <v>756</v>
      </c>
      <c r="O1905" s="487" t="s">
        <v>2527</v>
      </c>
      <c r="P1905" s="484" t="s">
        <v>1553</v>
      </c>
      <c r="Q1905" s="458"/>
      <c r="R1905" s="459"/>
    </row>
    <row r="1906" spans="1:18" ht="48">
      <c r="A1906" s="493"/>
      <c r="B1906" s="387">
        <v>46175</v>
      </c>
      <c r="C1906" s="388">
        <v>46143</v>
      </c>
      <c r="D1906" s="495" t="s">
        <v>248</v>
      </c>
      <c r="E1906" s="484" t="s">
        <v>592</v>
      </c>
      <c r="F1906" s="498">
        <v>1381.28</v>
      </c>
      <c r="G1906" s="486" t="s">
        <v>3523</v>
      </c>
      <c r="H1906" s="462" t="s">
        <v>737</v>
      </c>
      <c r="I1906" s="484" t="s">
        <v>3351</v>
      </c>
      <c r="J1906" s="487" t="s">
        <v>3352</v>
      </c>
      <c r="K1906" s="183"/>
      <c r="L1906" s="183"/>
      <c r="M1906" s="484" t="s">
        <v>704</v>
      </c>
      <c r="N1906" s="487">
        <v>543</v>
      </c>
      <c r="O1906" s="487" t="s">
        <v>2540</v>
      </c>
      <c r="P1906" s="484" t="s">
        <v>1554</v>
      </c>
      <c r="Q1906" s="458"/>
      <c r="R1906" s="459"/>
    </row>
    <row r="1907" spans="1:18" ht="60">
      <c r="A1907" s="493"/>
      <c r="B1907" s="387">
        <v>46175</v>
      </c>
      <c r="C1907" s="388">
        <v>46174</v>
      </c>
      <c r="D1907" s="495" t="s">
        <v>248</v>
      </c>
      <c r="E1907" s="60" t="s">
        <v>457</v>
      </c>
      <c r="F1907" s="485">
        <v>14.25</v>
      </c>
      <c r="G1907" s="486" t="s">
        <v>1640</v>
      </c>
      <c r="H1907" s="462" t="s">
        <v>278</v>
      </c>
      <c r="I1907" s="484" t="s">
        <v>881</v>
      </c>
      <c r="J1907" s="487" t="s">
        <v>773</v>
      </c>
      <c r="K1907" s="183"/>
      <c r="L1907" s="183"/>
      <c r="M1907" s="484" t="s">
        <v>710</v>
      </c>
      <c r="N1907" s="487">
        <v>176986</v>
      </c>
      <c r="O1907" s="487" t="s">
        <v>3294</v>
      </c>
      <c r="P1907" s="484" t="s">
        <v>735</v>
      </c>
      <c r="Q1907" s="458"/>
      <c r="R1907" s="459"/>
    </row>
    <row r="1908" spans="1:18" ht="36">
      <c r="A1908" s="493"/>
      <c r="B1908" s="387">
        <v>46175</v>
      </c>
      <c r="C1908" s="388">
        <v>46174</v>
      </c>
      <c r="D1908" s="495" t="s">
        <v>248</v>
      </c>
      <c r="E1908" s="60" t="s">
        <v>0</v>
      </c>
      <c r="F1908" s="485">
        <v>10</v>
      </c>
      <c r="G1908" s="486" t="s">
        <v>3524</v>
      </c>
      <c r="H1908" s="389" t="s">
        <v>278</v>
      </c>
      <c r="I1908" s="484" t="s">
        <v>881</v>
      </c>
      <c r="J1908" s="487" t="s">
        <v>773</v>
      </c>
      <c r="K1908" s="183"/>
      <c r="L1908" s="183"/>
      <c r="M1908" s="484" t="s">
        <v>710</v>
      </c>
      <c r="N1908" s="487">
        <v>9813</v>
      </c>
      <c r="O1908" s="487" t="s">
        <v>3293</v>
      </c>
      <c r="P1908" s="484" t="s">
        <v>735</v>
      </c>
      <c r="Q1908" s="458"/>
      <c r="R1908" s="459"/>
    </row>
    <row r="1909" spans="1:18" ht="24">
      <c r="A1909" s="493"/>
      <c r="B1909" s="387">
        <v>46175</v>
      </c>
      <c r="C1909" s="388">
        <v>46143</v>
      </c>
      <c r="D1909" s="484" t="s">
        <v>166</v>
      </c>
      <c r="E1909" s="484" t="s">
        <v>583</v>
      </c>
      <c r="F1909" s="497">
        <v>601.38</v>
      </c>
      <c r="G1909" s="486" t="s">
        <v>3525</v>
      </c>
      <c r="H1909" s="389" t="s">
        <v>166</v>
      </c>
      <c r="I1909" s="484" t="s">
        <v>1475</v>
      </c>
      <c r="J1909" s="487" t="s">
        <v>1476</v>
      </c>
      <c r="K1909" s="183"/>
      <c r="L1909" s="183"/>
      <c r="M1909" s="484" t="s">
        <v>705</v>
      </c>
      <c r="N1909" s="487">
        <v>733</v>
      </c>
      <c r="O1909" s="487" t="s">
        <v>3486</v>
      </c>
      <c r="P1909" s="484" t="s">
        <v>1557</v>
      </c>
      <c r="Q1909" s="458"/>
      <c r="R1909" s="459"/>
    </row>
    <row r="1910" spans="1:18" ht="24">
      <c r="A1910" s="493"/>
      <c r="B1910" s="387">
        <v>46175</v>
      </c>
      <c r="C1910" s="388">
        <v>46143</v>
      </c>
      <c r="D1910" s="484" t="s">
        <v>166</v>
      </c>
      <c r="E1910" s="484" t="s">
        <v>583</v>
      </c>
      <c r="F1910" s="499">
        <v>3797.95</v>
      </c>
      <c r="G1910" s="486" t="s">
        <v>3526</v>
      </c>
      <c r="H1910" s="389" t="s">
        <v>166</v>
      </c>
      <c r="I1910" s="484" t="s">
        <v>3353</v>
      </c>
      <c r="J1910" s="487" t="s">
        <v>3354</v>
      </c>
      <c r="K1910" s="183"/>
      <c r="L1910" s="183"/>
      <c r="M1910" s="484" t="s">
        <v>705</v>
      </c>
      <c r="N1910" s="487">
        <v>733</v>
      </c>
      <c r="O1910" s="487" t="s">
        <v>3486</v>
      </c>
      <c r="P1910" s="484" t="s">
        <v>1557</v>
      </c>
      <c r="Q1910" s="458"/>
      <c r="R1910" s="459"/>
    </row>
    <row r="1911" spans="1:18" ht="24">
      <c r="A1911" s="493"/>
      <c r="B1911" s="387">
        <v>46175</v>
      </c>
      <c r="C1911" s="388">
        <v>46143</v>
      </c>
      <c r="D1911" s="484" t="s">
        <v>166</v>
      </c>
      <c r="E1911" s="484" t="s">
        <v>583</v>
      </c>
      <c r="F1911" s="499">
        <v>4499.6499999999996</v>
      </c>
      <c r="G1911" s="486" t="s">
        <v>3527</v>
      </c>
      <c r="H1911" s="389" t="s">
        <v>166</v>
      </c>
      <c r="I1911" s="484" t="s">
        <v>1137</v>
      </c>
      <c r="J1911" s="487" t="s">
        <v>1138</v>
      </c>
      <c r="K1911" s="183"/>
      <c r="L1911" s="183"/>
      <c r="M1911" s="484" t="s">
        <v>705</v>
      </c>
      <c r="N1911" s="487">
        <v>733</v>
      </c>
      <c r="O1911" s="487" t="s">
        <v>3486</v>
      </c>
      <c r="P1911" s="484" t="s">
        <v>1557</v>
      </c>
      <c r="Q1911" s="458"/>
      <c r="R1911" s="459"/>
    </row>
    <row r="1912" spans="1:18" ht="24">
      <c r="A1912" s="493"/>
      <c r="B1912" s="387">
        <v>46175</v>
      </c>
      <c r="C1912" s="388">
        <v>46143</v>
      </c>
      <c r="D1912" s="484" t="s">
        <v>166</v>
      </c>
      <c r="E1912" s="484" t="s">
        <v>583</v>
      </c>
      <c r="F1912" s="497">
        <v>9602.3799999999992</v>
      </c>
      <c r="G1912" s="486" t="s">
        <v>3528</v>
      </c>
      <c r="H1912" s="389" t="s">
        <v>166</v>
      </c>
      <c r="I1912" s="484" t="s">
        <v>3355</v>
      </c>
      <c r="J1912" s="487" t="s">
        <v>3356</v>
      </c>
      <c r="K1912" s="183"/>
      <c r="L1912" s="183"/>
      <c r="M1912" s="484" t="s">
        <v>705</v>
      </c>
      <c r="N1912" s="487">
        <v>733</v>
      </c>
      <c r="O1912" s="487" t="s">
        <v>3486</v>
      </c>
      <c r="P1912" s="484" t="s">
        <v>1557</v>
      </c>
      <c r="Q1912" s="458"/>
      <c r="R1912" s="459"/>
    </row>
    <row r="1913" spans="1:18" ht="108">
      <c r="A1913" s="493"/>
      <c r="B1913" s="387">
        <v>46176</v>
      </c>
      <c r="C1913" s="388">
        <v>46113</v>
      </c>
      <c r="D1913" s="495" t="s">
        <v>248</v>
      </c>
      <c r="E1913" s="60" t="s">
        <v>171</v>
      </c>
      <c r="F1913" s="498">
        <v>19.899999999999999</v>
      </c>
      <c r="G1913" s="486" t="s">
        <v>3529</v>
      </c>
      <c r="H1913" s="389" t="s">
        <v>278</v>
      </c>
      <c r="I1913" s="484" t="s">
        <v>616</v>
      </c>
      <c r="J1913" s="487" t="s">
        <v>617</v>
      </c>
      <c r="K1913" s="183"/>
      <c r="L1913" s="183"/>
      <c r="M1913" s="484" t="s">
        <v>704</v>
      </c>
      <c r="N1913" s="487">
        <v>2915</v>
      </c>
      <c r="O1913" s="487" t="s">
        <v>2106</v>
      </c>
      <c r="P1913" s="484" t="s">
        <v>1553</v>
      </c>
      <c r="Q1913" s="458"/>
      <c r="R1913" s="459"/>
    </row>
    <row r="1914" spans="1:18" ht="36">
      <c r="A1914" s="493"/>
      <c r="B1914" s="387">
        <v>46176</v>
      </c>
      <c r="C1914" s="388">
        <v>46143</v>
      </c>
      <c r="D1914" s="495" t="s">
        <v>248</v>
      </c>
      <c r="E1914" s="60" t="s">
        <v>171</v>
      </c>
      <c r="F1914" s="498">
        <v>1754.61</v>
      </c>
      <c r="G1914" s="486" t="s">
        <v>3530</v>
      </c>
      <c r="H1914" s="389" t="s">
        <v>278</v>
      </c>
      <c r="I1914" s="484" t="s">
        <v>628</v>
      </c>
      <c r="J1914" s="487" t="s">
        <v>629</v>
      </c>
      <c r="K1914" s="183"/>
      <c r="L1914" s="183"/>
      <c r="M1914" s="484" t="s">
        <v>704</v>
      </c>
      <c r="N1914" s="487">
        <v>17192421</v>
      </c>
      <c r="O1914" s="487" t="s">
        <v>2546</v>
      </c>
      <c r="P1914" s="484" t="s">
        <v>1553</v>
      </c>
      <c r="Q1914" s="458"/>
      <c r="R1914" s="459"/>
    </row>
    <row r="1915" spans="1:18" ht="36">
      <c r="A1915" s="493"/>
      <c r="B1915" s="387">
        <v>46176</v>
      </c>
      <c r="C1915" s="388">
        <v>46143</v>
      </c>
      <c r="D1915" s="495" t="s">
        <v>248</v>
      </c>
      <c r="E1915" s="484" t="s">
        <v>582</v>
      </c>
      <c r="F1915" s="498">
        <v>1745.47</v>
      </c>
      <c r="G1915" s="486" t="s">
        <v>3531</v>
      </c>
      <c r="H1915" s="389" t="s">
        <v>737</v>
      </c>
      <c r="I1915" s="484" t="s">
        <v>613</v>
      </c>
      <c r="J1915" s="487" t="s">
        <v>773</v>
      </c>
      <c r="K1915" s="183"/>
      <c r="L1915" s="183"/>
      <c r="M1915" s="484" t="s">
        <v>704</v>
      </c>
      <c r="N1915" s="487">
        <v>26607303</v>
      </c>
      <c r="O1915" s="487" t="s">
        <v>2526</v>
      </c>
      <c r="P1915" s="484" t="s">
        <v>1553</v>
      </c>
      <c r="Q1915" s="458"/>
      <c r="R1915" s="459"/>
    </row>
    <row r="1916" spans="1:18" ht="48">
      <c r="A1916" s="493"/>
      <c r="B1916" s="387">
        <v>46176</v>
      </c>
      <c r="C1916" s="388">
        <v>46143</v>
      </c>
      <c r="D1916" s="495" t="s">
        <v>248</v>
      </c>
      <c r="E1916" s="484" t="s">
        <v>592</v>
      </c>
      <c r="F1916" s="498">
        <v>1381.28</v>
      </c>
      <c r="G1916" s="486" t="s">
        <v>3532</v>
      </c>
      <c r="H1916" s="462" t="s">
        <v>737</v>
      </c>
      <c r="I1916" s="484" t="s">
        <v>3351</v>
      </c>
      <c r="J1916" s="487" t="s">
        <v>3352</v>
      </c>
      <c r="K1916" s="183"/>
      <c r="L1916" s="183"/>
      <c r="M1916" s="484" t="s">
        <v>707</v>
      </c>
      <c r="N1916" s="487">
        <v>544</v>
      </c>
      <c r="O1916" s="487" t="s">
        <v>2540</v>
      </c>
      <c r="P1916" s="484" t="s">
        <v>1554</v>
      </c>
      <c r="Q1916" s="458"/>
      <c r="R1916" s="459"/>
    </row>
    <row r="1917" spans="1:18" ht="60">
      <c r="A1917" s="493"/>
      <c r="B1917" s="387">
        <v>46176</v>
      </c>
      <c r="C1917" s="388">
        <v>46143</v>
      </c>
      <c r="D1917" s="495" t="s">
        <v>248</v>
      </c>
      <c r="E1917" s="484" t="s">
        <v>2676</v>
      </c>
      <c r="F1917" s="498">
        <v>46550</v>
      </c>
      <c r="G1917" s="486" t="s">
        <v>2928</v>
      </c>
      <c r="H1917" s="462" t="s">
        <v>736</v>
      </c>
      <c r="I1917" s="484" t="s">
        <v>2668</v>
      </c>
      <c r="J1917" s="487" t="s">
        <v>2669</v>
      </c>
      <c r="K1917" s="183"/>
      <c r="L1917" s="183"/>
      <c r="M1917" s="484" t="s">
        <v>707</v>
      </c>
      <c r="N1917" s="487">
        <v>26</v>
      </c>
      <c r="O1917" s="487" t="s">
        <v>2532</v>
      </c>
      <c r="P1917" s="484" t="s">
        <v>1554</v>
      </c>
      <c r="Q1917" s="458"/>
      <c r="R1917" s="459"/>
    </row>
    <row r="1918" spans="1:18" ht="36">
      <c r="A1918" s="493"/>
      <c r="B1918" s="387">
        <v>46176</v>
      </c>
      <c r="C1918" s="388">
        <v>46143</v>
      </c>
      <c r="D1918" s="495" t="s">
        <v>248</v>
      </c>
      <c r="E1918" s="484" t="s">
        <v>590</v>
      </c>
      <c r="F1918" s="498">
        <v>675</v>
      </c>
      <c r="G1918" s="486" t="s">
        <v>3533</v>
      </c>
      <c r="H1918" s="389" t="s">
        <v>736</v>
      </c>
      <c r="I1918" s="484" t="s">
        <v>2224</v>
      </c>
      <c r="J1918" s="487" t="s">
        <v>2225</v>
      </c>
      <c r="K1918" s="183"/>
      <c r="L1918" s="183"/>
      <c r="M1918" s="484" t="s">
        <v>704</v>
      </c>
      <c r="N1918" s="487">
        <v>619</v>
      </c>
      <c r="O1918" s="487" t="s">
        <v>2536</v>
      </c>
      <c r="P1918" s="484" t="s">
        <v>1554</v>
      </c>
      <c r="Q1918" s="458"/>
      <c r="R1918" s="459"/>
    </row>
    <row r="1919" spans="1:18" ht="48">
      <c r="A1919" s="493"/>
      <c r="B1919" s="387">
        <v>46176</v>
      </c>
      <c r="C1919" s="388">
        <v>46143</v>
      </c>
      <c r="D1919" s="495" t="s">
        <v>248</v>
      </c>
      <c r="E1919" s="484" t="s">
        <v>608</v>
      </c>
      <c r="F1919" s="498">
        <v>8125</v>
      </c>
      <c r="G1919" s="486" t="s">
        <v>1582</v>
      </c>
      <c r="H1919" s="389" t="s">
        <v>1029</v>
      </c>
      <c r="I1919" s="484" t="s">
        <v>1429</v>
      </c>
      <c r="J1919" s="487" t="s">
        <v>1430</v>
      </c>
      <c r="K1919" s="183"/>
      <c r="L1919" s="183"/>
      <c r="M1919" s="484" t="s">
        <v>708</v>
      </c>
      <c r="N1919" s="487">
        <v>31</v>
      </c>
      <c r="O1919" s="487" t="s">
        <v>2541</v>
      </c>
      <c r="P1919" s="484" t="s">
        <v>1553</v>
      </c>
      <c r="Q1919" s="458"/>
      <c r="R1919" s="459"/>
    </row>
    <row r="1920" spans="1:18" s="439" customFormat="1" ht="36">
      <c r="A1920" s="502"/>
      <c r="B1920" s="503">
        <v>46176</v>
      </c>
      <c r="C1920" s="504">
        <v>46174</v>
      </c>
      <c r="D1920" s="495" t="s">
        <v>248</v>
      </c>
      <c r="E1920" s="506" t="s">
        <v>610</v>
      </c>
      <c r="F1920" s="512">
        <v>2973.76</v>
      </c>
      <c r="G1920" s="507"/>
      <c r="H1920" s="389" t="s">
        <v>736</v>
      </c>
      <c r="I1920" s="506"/>
      <c r="J1920" s="509"/>
      <c r="K1920" s="510"/>
      <c r="L1920" s="510"/>
      <c r="M1920" s="506"/>
      <c r="N1920" s="509"/>
      <c r="O1920" s="509"/>
      <c r="P1920" s="484" t="s">
        <v>1553</v>
      </c>
      <c r="Q1920" s="505"/>
      <c r="R1920" s="511"/>
    </row>
    <row r="1921" spans="1:18" s="439" customFormat="1" ht="36">
      <c r="A1921" s="502"/>
      <c r="B1921" s="503">
        <v>46176</v>
      </c>
      <c r="C1921" s="504">
        <v>46174</v>
      </c>
      <c r="D1921" s="495" t="s">
        <v>248</v>
      </c>
      <c r="E1921" s="513" t="s">
        <v>54</v>
      </c>
      <c r="F1921" s="524">
        <v>13.91</v>
      </c>
      <c r="G1921" s="507"/>
      <c r="H1921" s="389" t="s">
        <v>278</v>
      </c>
      <c r="I1921" s="506"/>
      <c r="J1921" s="509"/>
      <c r="K1921" s="510"/>
      <c r="L1921" s="510"/>
      <c r="M1921" s="506"/>
      <c r="N1921" s="509"/>
      <c r="O1921" s="509"/>
      <c r="P1921" s="484" t="s">
        <v>1553</v>
      </c>
      <c r="Q1921" s="505"/>
      <c r="R1921" s="511"/>
    </row>
    <row r="1922" spans="1:18" s="439" customFormat="1" ht="36">
      <c r="A1922" s="502"/>
      <c r="B1922" s="503">
        <v>46176</v>
      </c>
      <c r="C1922" s="504">
        <v>46174</v>
      </c>
      <c r="D1922" s="495" t="s">
        <v>248</v>
      </c>
      <c r="E1922" s="513" t="s">
        <v>54</v>
      </c>
      <c r="F1922" s="525">
        <v>55.64</v>
      </c>
      <c r="G1922" s="507"/>
      <c r="H1922" s="389" t="s">
        <v>278</v>
      </c>
      <c r="J1922" s="509"/>
      <c r="K1922" s="510"/>
      <c r="L1922" s="510"/>
      <c r="M1922" s="506"/>
      <c r="N1922" s="509"/>
      <c r="O1922" s="509"/>
      <c r="P1922" s="484" t="s">
        <v>1553</v>
      </c>
      <c r="Q1922" s="505"/>
      <c r="R1922" s="511"/>
    </row>
    <row r="1923" spans="1:18" ht="60">
      <c r="A1923" s="493"/>
      <c r="B1923" s="387">
        <v>46176</v>
      </c>
      <c r="C1923" s="388">
        <v>46143</v>
      </c>
      <c r="D1923" s="495" t="s">
        <v>248</v>
      </c>
      <c r="E1923" s="484" t="s">
        <v>582</v>
      </c>
      <c r="F1923" s="498">
        <v>1707.47</v>
      </c>
      <c r="G1923" s="486" t="s">
        <v>2303</v>
      </c>
      <c r="H1923" s="389" t="s">
        <v>737</v>
      </c>
      <c r="I1923" s="484" t="s">
        <v>614</v>
      </c>
      <c r="J1923" s="487" t="s">
        <v>615</v>
      </c>
      <c r="K1923" s="183"/>
      <c r="L1923" s="183"/>
      <c r="M1923" s="484" t="s">
        <v>704</v>
      </c>
      <c r="N1923" s="487">
        <v>721019</v>
      </c>
      <c r="O1923" s="487" t="s">
        <v>2538</v>
      </c>
      <c r="P1923" s="484" t="s">
        <v>1553</v>
      </c>
      <c r="Q1923" s="458"/>
      <c r="R1923" s="459"/>
    </row>
    <row r="1924" spans="1:18" ht="60">
      <c r="A1924" s="493"/>
      <c r="B1924" s="387">
        <v>46176</v>
      </c>
      <c r="C1924" s="388">
        <v>46143</v>
      </c>
      <c r="D1924" s="495" t="s">
        <v>248</v>
      </c>
      <c r="E1924" s="484" t="s">
        <v>582</v>
      </c>
      <c r="F1924" s="498">
        <v>47.95</v>
      </c>
      <c r="G1924" s="486" t="s">
        <v>2303</v>
      </c>
      <c r="H1924" s="389" t="s">
        <v>737</v>
      </c>
      <c r="I1924" s="484" t="s">
        <v>614</v>
      </c>
      <c r="J1924" s="487" t="s">
        <v>615</v>
      </c>
      <c r="K1924" s="183"/>
      <c r="L1924" s="183"/>
      <c r="M1924" s="484" t="s">
        <v>704</v>
      </c>
      <c r="N1924" s="487">
        <v>208116</v>
      </c>
      <c r="O1924" s="487" t="s">
        <v>2533</v>
      </c>
      <c r="P1924" s="484" t="s">
        <v>1553</v>
      </c>
      <c r="Q1924" s="458"/>
      <c r="R1924" s="459"/>
    </row>
    <row r="1925" spans="1:18" ht="36">
      <c r="A1925" s="493"/>
      <c r="B1925" s="387">
        <v>46176</v>
      </c>
      <c r="C1925" s="388">
        <v>46143</v>
      </c>
      <c r="D1925" s="458" t="s">
        <v>132</v>
      </c>
      <c r="E1925" s="484" t="s">
        <v>1220</v>
      </c>
      <c r="F1925" s="498">
        <v>8840</v>
      </c>
      <c r="G1925" s="486" t="s">
        <v>3534</v>
      </c>
      <c r="H1925" s="453" t="s">
        <v>736</v>
      </c>
      <c r="I1925" s="484" t="s">
        <v>2139</v>
      </c>
      <c r="J1925" s="487" t="s">
        <v>2140</v>
      </c>
      <c r="K1925" s="183"/>
      <c r="L1925" s="183"/>
      <c r="M1925" s="484" t="s">
        <v>704</v>
      </c>
      <c r="N1925" s="487">
        <v>60353</v>
      </c>
      <c r="O1925" s="487" t="s">
        <v>2528</v>
      </c>
      <c r="P1925" s="484" t="s">
        <v>1554</v>
      </c>
      <c r="Q1925" s="458"/>
      <c r="R1925" s="459"/>
    </row>
    <row r="1926" spans="1:18" ht="48">
      <c r="A1926" s="493"/>
      <c r="B1926" s="387">
        <v>46176</v>
      </c>
      <c r="C1926" s="388">
        <v>46143</v>
      </c>
      <c r="D1926" s="495" t="s">
        <v>248</v>
      </c>
      <c r="E1926" s="484" t="s">
        <v>592</v>
      </c>
      <c r="F1926" s="498">
        <v>2360.98</v>
      </c>
      <c r="G1926" s="486" t="s">
        <v>3535</v>
      </c>
      <c r="H1926" s="462" t="s">
        <v>736</v>
      </c>
      <c r="I1926" s="484" t="s">
        <v>2608</v>
      </c>
      <c r="J1926" s="487" t="s">
        <v>2609</v>
      </c>
      <c r="K1926" s="183"/>
      <c r="L1926" s="183"/>
      <c r="M1926" s="484" t="s">
        <v>707</v>
      </c>
      <c r="N1926" s="487">
        <v>776</v>
      </c>
      <c r="O1926" s="487" t="s">
        <v>2541</v>
      </c>
      <c r="P1926" s="484" t="s">
        <v>1554</v>
      </c>
      <c r="Q1926" s="458"/>
      <c r="R1926" s="459"/>
    </row>
    <row r="1927" spans="1:18" ht="48">
      <c r="A1927" s="493"/>
      <c r="B1927" s="387">
        <v>46176</v>
      </c>
      <c r="C1927" s="388">
        <v>46143</v>
      </c>
      <c r="D1927" s="495" t="s">
        <v>248</v>
      </c>
      <c r="E1927" s="484" t="s">
        <v>590</v>
      </c>
      <c r="F1927" s="498">
        <v>3600</v>
      </c>
      <c r="G1927" s="486" t="s">
        <v>3536</v>
      </c>
      <c r="H1927" s="389" t="s">
        <v>736</v>
      </c>
      <c r="I1927" s="484" t="s">
        <v>3357</v>
      </c>
      <c r="J1927" s="487" t="s">
        <v>3358</v>
      </c>
      <c r="K1927" s="183"/>
      <c r="L1927" s="183"/>
      <c r="M1927" s="484" t="s">
        <v>707</v>
      </c>
      <c r="N1927" s="487">
        <v>76109</v>
      </c>
      <c r="O1927" s="487" t="s">
        <v>2541</v>
      </c>
      <c r="P1927" s="484" t="s">
        <v>1554</v>
      </c>
      <c r="Q1927" s="458"/>
      <c r="R1927" s="459"/>
    </row>
    <row r="1928" spans="1:18" ht="36">
      <c r="A1928" s="493"/>
      <c r="B1928" s="387">
        <v>46176</v>
      </c>
      <c r="C1928" s="388">
        <v>46143</v>
      </c>
      <c r="D1928" s="495" t="s">
        <v>248</v>
      </c>
      <c r="E1928" s="484" t="s">
        <v>582</v>
      </c>
      <c r="F1928" s="498">
        <v>3500</v>
      </c>
      <c r="G1928" s="486" t="s">
        <v>3537</v>
      </c>
      <c r="H1928" s="389" t="s">
        <v>737</v>
      </c>
      <c r="I1928" s="484" t="s">
        <v>3359</v>
      </c>
      <c r="J1928" s="487" t="s">
        <v>3360</v>
      </c>
      <c r="K1928" s="183"/>
      <c r="L1928" s="183"/>
      <c r="M1928" s="484" t="s">
        <v>708</v>
      </c>
      <c r="N1928" s="487">
        <v>24</v>
      </c>
      <c r="O1928" s="487" t="s">
        <v>2541</v>
      </c>
      <c r="P1928" s="484" t="s">
        <v>1553</v>
      </c>
      <c r="Q1928" s="458"/>
      <c r="R1928" s="459"/>
    </row>
    <row r="1929" spans="1:18" ht="48">
      <c r="A1929" s="493"/>
      <c r="B1929" s="387">
        <v>46176</v>
      </c>
      <c r="C1929" s="388">
        <v>46143</v>
      </c>
      <c r="D1929" s="495" t="s">
        <v>248</v>
      </c>
      <c r="E1929" s="484" t="s">
        <v>610</v>
      </c>
      <c r="F1929" s="498">
        <v>1227.2</v>
      </c>
      <c r="G1929" s="486" t="s">
        <v>3538</v>
      </c>
      <c r="H1929" s="389" t="s">
        <v>736</v>
      </c>
      <c r="I1929" s="484" t="s">
        <v>686</v>
      </c>
      <c r="J1929" s="487" t="s">
        <v>687</v>
      </c>
      <c r="K1929" s="183"/>
      <c r="L1929" s="183"/>
      <c r="M1929" s="484" t="s">
        <v>719</v>
      </c>
      <c r="N1929" s="487">
        <v>37598</v>
      </c>
      <c r="O1929" s="487" t="s">
        <v>2542</v>
      </c>
      <c r="P1929" s="484" t="s">
        <v>1554</v>
      </c>
      <c r="Q1929" s="458"/>
      <c r="R1929" s="459"/>
    </row>
    <row r="1930" spans="1:18" ht="48">
      <c r="A1930" s="493"/>
      <c r="B1930" s="387">
        <v>46176</v>
      </c>
      <c r="C1930" s="388">
        <v>46174</v>
      </c>
      <c r="D1930" s="495" t="s">
        <v>248</v>
      </c>
      <c r="E1930" s="484" t="s">
        <v>593</v>
      </c>
      <c r="F1930" s="498">
        <v>99179.74</v>
      </c>
      <c r="G1930" s="486" t="s">
        <v>3539</v>
      </c>
      <c r="H1930" s="389" t="s">
        <v>736</v>
      </c>
      <c r="I1930" s="484" t="s">
        <v>1059</v>
      </c>
      <c r="J1930" s="487" t="s">
        <v>1060</v>
      </c>
      <c r="K1930" s="183"/>
      <c r="L1930" s="183"/>
      <c r="M1930" s="484" t="s">
        <v>707</v>
      </c>
      <c r="N1930" s="487">
        <v>5</v>
      </c>
      <c r="O1930" s="487" t="s">
        <v>3485</v>
      </c>
      <c r="P1930" s="484" t="s">
        <v>1554</v>
      </c>
      <c r="Q1930" s="458"/>
      <c r="R1930" s="459"/>
    </row>
    <row r="1931" spans="1:18" ht="24">
      <c r="A1931" s="493"/>
      <c r="B1931" s="387">
        <v>46176</v>
      </c>
      <c r="C1931" s="388">
        <v>46174</v>
      </c>
      <c r="D1931" s="495" t="s">
        <v>248</v>
      </c>
      <c r="E1931" s="484" t="s">
        <v>593</v>
      </c>
      <c r="F1931" s="498">
        <v>26460</v>
      </c>
      <c r="G1931" s="486" t="s">
        <v>3540</v>
      </c>
      <c r="H1931" s="389" t="s">
        <v>736</v>
      </c>
      <c r="I1931" s="484" t="s">
        <v>1061</v>
      </c>
      <c r="J1931" s="487" t="s">
        <v>1062</v>
      </c>
      <c r="K1931" s="183"/>
      <c r="L1931" s="183"/>
      <c r="M1931" s="484" t="s">
        <v>707</v>
      </c>
      <c r="N1931" s="487">
        <v>117</v>
      </c>
      <c r="O1931" s="487" t="s">
        <v>3485</v>
      </c>
      <c r="P1931" s="484" t="s">
        <v>1554</v>
      </c>
      <c r="Q1931" s="458"/>
      <c r="R1931" s="459"/>
    </row>
    <row r="1932" spans="1:18" ht="36">
      <c r="A1932" s="493"/>
      <c r="B1932" s="387">
        <v>46176</v>
      </c>
      <c r="C1932" s="388">
        <v>46143</v>
      </c>
      <c r="D1932" s="495" t="s">
        <v>248</v>
      </c>
      <c r="E1932" s="484" t="s">
        <v>606</v>
      </c>
      <c r="F1932" s="498">
        <v>6200</v>
      </c>
      <c r="G1932" s="486" t="s">
        <v>3541</v>
      </c>
      <c r="H1932" s="389" t="s">
        <v>737</v>
      </c>
      <c r="I1932" s="484" t="s">
        <v>3361</v>
      </c>
      <c r="J1932" s="487" t="s">
        <v>3362</v>
      </c>
      <c r="K1932" s="183"/>
      <c r="L1932" s="183"/>
      <c r="M1932" s="484" t="s">
        <v>708</v>
      </c>
      <c r="N1932" s="487">
        <v>973</v>
      </c>
      <c r="O1932" s="487" t="s">
        <v>2531</v>
      </c>
      <c r="P1932" s="484" t="s">
        <v>1553</v>
      </c>
      <c r="Q1932" s="458"/>
      <c r="R1932" s="459"/>
    </row>
    <row r="1933" spans="1:18" ht="60">
      <c r="A1933" s="493"/>
      <c r="B1933" s="387">
        <v>46176</v>
      </c>
      <c r="C1933" s="388">
        <v>46143</v>
      </c>
      <c r="D1933" s="495" t="s">
        <v>248</v>
      </c>
      <c r="E1933" s="484" t="s">
        <v>582</v>
      </c>
      <c r="F1933" s="498">
        <v>51.06</v>
      </c>
      <c r="G1933" s="486" t="s">
        <v>3542</v>
      </c>
      <c r="H1933" s="389" t="s">
        <v>737</v>
      </c>
      <c r="I1933" s="484" t="s">
        <v>624</v>
      </c>
      <c r="J1933" s="487" t="s">
        <v>625</v>
      </c>
      <c r="K1933" s="183"/>
      <c r="L1933" s="183"/>
      <c r="M1933" s="484" t="s">
        <v>709</v>
      </c>
      <c r="N1933" s="487">
        <v>50064</v>
      </c>
      <c r="O1933" s="487" t="s">
        <v>2528</v>
      </c>
      <c r="P1933" s="484" t="s">
        <v>1553</v>
      </c>
      <c r="Q1933" s="458"/>
      <c r="R1933" s="459"/>
    </row>
    <row r="1934" spans="1:18" ht="60">
      <c r="A1934" s="493"/>
      <c r="B1934" s="387">
        <v>46176</v>
      </c>
      <c r="C1934" s="388">
        <v>46143</v>
      </c>
      <c r="D1934" s="495" t="s">
        <v>248</v>
      </c>
      <c r="E1934" s="484" t="s">
        <v>582</v>
      </c>
      <c r="F1934" s="498">
        <v>1458.8</v>
      </c>
      <c r="G1934" s="486" t="s">
        <v>3542</v>
      </c>
      <c r="H1934" s="389" t="s">
        <v>737</v>
      </c>
      <c r="I1934" s="484" t="s">
        <v>1063</v>
      </c>
      <c r="J1934" s="487" t="s">
        <v>773</v>
      </c>
      <c r="K1934" s="183"/>
      <c r="L1934" s="183"/>
      <c r="M1934" s="484" t="s">
        <v>704</v>
      </c>
      <c r="N1934" s="487">
        <v>50064</v>
      </c>
      <c r="O1934" s="487" t="s">
        <v>2528</v>
      </c>
      <c r="P1934" s="484" t="s">
        <v>1553</v>
      </c>
      <c r="Q1934" s="458"/>
      <c r="R1934" s="459"/>
    </row>
    <row r="1935" spans="1:18" ht="60">
      <c r="A1935" s="493"/>
      <c r="B1935" s="387">
        <v>46176</v>
      </c>
      <c r="C1935" s="388">
        <v>46143</v>
      </c>
      <c r="D1935" s="495" t="s">
        <v>248</v>
      </c>
      <c r="E1935" s="484" t="s">
        <v>582</v>
      </c>
      <c r="F1935" s="498">
        <v>51.06</v>
      </c>
      <c r="G1935" s="486" t="s">
        <v>3542</v>
      </c>
      <c r="H1935" s="389" t="s">
        <v>737</v>
      </c>
      <c r="I1935" s="484" t="s">
        <v>624</v>
      </c>
      <c r="J1935" s="487" t="s">
        <v>625</v>
      </c>
      <c r="K1935" s="183"/>
      <c r="L1935" s="183"/>
      <c r="M1935" s="484" t="s">
        <v>709</v>
      </c>
      <c r="N1935" s="487">
        <v>50065</v>
      </c>
      <c r="O1935" s="487" t="s">
        <v>2528</v>
      </c>
      <c r="P1935" s="484" t="s">
        <v>1553</v>
      </c>
      <c r="Q1935" s="458"/>
      <c r="R1935" s="459"/>
    </row>
    <row r="1936" spans="1:18" ht="60">
      <c r="A1936" s="493"/>
      <c r="B1936" s="387">
        <v>46176</v>
      </c>
      <c r="C1936" s="388">
        <v>46143</v>
      </c>
      <c r="D1936" s="495" t="s">
        <v>248</v>
      </c>
      <c r="E1936" s="484" t="s">
        <v>582</v>
      </c>
      <c r="F1936" s="498">
        <v>1458.8</v>
      </c>
      <c r="G1936" s="486" t="s">
        <v>3542</v>
      </c>
      <c r="H1936" s="389" t="s">
        <v>737</v>
      </c>
      <c r="I1936" s="484" t="s">
        <v>1063</v>
      </c>
      <c r="J1936" s="487" t="s">
        <v>773</v>
      </c>
      <c r="K1936" s="183"/>
      <c r="L1936" s="183"/>
      <c r="M1936" s="484" t="s">
        <v>704</v>
      </c>
      <c r="N1936" s="487">
        <v>50065</v>
      </c>
      <c r="O1936" s="487" t="s">
        <v>2528</v>
      </c>
      <c r="P1936" s="484" t="s">
        <v>1553</v>
      </c>
      <c r="Q1936" s="458"/>
      <c r="R1936" s="459"/>
    </row>
    <row r="1937" spans="1:18" ht="72">
      <c r="A1937" s="493"/>
      <c r="B1937" s="387">
        <v>46176</v>
      </c>
      <c r="C1937" s="388">
        <v>46143</v>
      </c>
      <c r="D1937" s="495" t="s">
        <v>248</v>
      </c>
      <c r="E1937" s="59" t="s">
        <v>169</v>
      </c>
      <c r="F1937" s="498">
        <v>19.940000000000001</v>
      </c>
      <c r="G1937" s="486" t="s">
        <v>3543</v>
      </c>
      <c r="H1937" s="462" t="s">
        <v>278</v>
      </c>
      <c r="I1937" s="484" t="s">
        <v>624</v>
      </c>
      <c r="J1937" s="487" t="s">
        <v>625</v>
      </c>
      <c r="K1937" s="183"/>
      <c r="L1937" s="183"/>
      <c r="M1937" s="484" t="s">
        <v>709</v>
      </c>
      <c r="N1937" s="487">
        <v>30449</v>
      </c>
      <c r="O1937" s="487" t="s">
        <v>2531</v>
      </c>
      <c r="P1937" s="484" t="s">
        <v>1553</v>
      </c>
      <c r="Q1937" s="458"/>
      <c r="R1937" s="459"/>
    </row>
    <row r="1938" spans="1:18" ht="72">
      <c r="A1938" s="493"/>
      <c r="B1938" s="387">
        <v>46176</v>
      </c>
      <c r="C1938" s="388">
        <v>46143</v>
      </c>
      <c r="D1938" s="495" t="s">
        <v>248</v>
      </c>
      <c r="E1938" s="59" t="s">
        <v>169</v>
      </c>
      <c r="F1938" s="498">
        <v>569.79999999999995</v>
      </c>
      <c r="G1938" s="486" t="s">
        <v>3543</v>
      </c>
      <c r="H1938" s="462" t="s">
        <v>278</v>
      </c>
      <c r="I1938" s="484" t="s">
        <v>3363</v>
      </c>
      <c r="J1938" s="487" t="s">
        <v>773</v>
      </c>
      <c r="K1938" s="183"/>
      <c r="L1938" s="183"/>
      <c r="M1938" s="484" t="s">
        <v>704</v>
      </c>
      <c r="N1938" s="487">
        <v>30449</v>
      </c>
      <c r="O1938" s="487" t="s">
        <v>2531</v>
      </c>
      <c r="P1938" s="484" t="s">
        <v>1553</v>
      </c>
      <c r="Q1938" s="458"/>
      <c r="R1938" s="459"/>
    </row>
    <row r="1939" spans="1:18" ht="96">
      <c r="A1939" s="493"/>
      <c r="B1939" s="387">
        <v>46176</v>
      </c>
      <c r="C1939" s="388">
        <v>46143</v>
      </c>
      <c r="D1939" s="495" t="s">
        <v>248</v>
      </c>
      <c r="E1939" s="59" t="s">
        <v>169</v>
      </c>
      <c r="F1939" s="498">
        <v>21.27</v>
      </c>
      <c r="G1939" s="486" t="s">
        <v>3544</v>
      </c>
      <c r="H1939" s="462" t="s">
        <v>278</v>
      </c>
      <c r="I1939" s="484" t="s">
        <v>624</v>
      </c>
      <c r="J1939" s="487" t="s">
        <v>625</v>
      </c>
      <c r="K1939" s="183"/>
      <c r="L1939" s="183"/>
      <c r="M1939" s="484" t="s">
        <v>709</v>
      </c>
      <c r="N1939" s="487">
        <v>6318695</v>
      </c>
      <c r="O1939" s="487" t="s">
        <v>2536</v>
      </c>
      <c r="P1939" s="484" t="s">
        <v>1553</v>
      </c>
      <c r="Q1939" s="458"/>
      <c r="R1939" s="459"/>
    </row>
    <row r="1940" spans="1:18" ht="96">
      <c r="A1940" s="493"/>
      <c r="B1940" s="387">
        <v>46176</v>
      </c>
      <c r="C1940" s="388">
        <v>46143</v>
      </c>
      <c r="D1940" s="495" t="s">
        <v>248</v>
      </c>
      <c r="E1940" s="59" t="s">
        <v>169</v>
      </c>
      <c r="F1940" s="498">
        <v>607.62</v>
      </c>
      <c r="G1940" s="486" t="s">
        <v>3544</v>
      </c>
      <c r="H1940" s="462" t="s">
        <v>278</v>
      </c>
      <c r="I1940" s="484" t="s">
        <v>3364</v>
      </c>
      <c r="J1940" s="487" t="s">
        <v>773</v>
      </c>
      <c r="K1940" s="183"/>
      <c r="L1940" s="183"/>
      <c r="M1940" s="484" t="s">
        <v>704</v>
      </c>
      <c r="N1940" s="487">
        <v>6318695</v>
      </c>
      <c r="O1940" s="487" t="s">
        <v>2536</v>
      </c>
      <c r="P1940" s="484" t="s">
        <v>1553</v>
      </c>
      <c r="Q1940" s="458"/>
      <c r="R1940" s="459"/>
    </row>
    <row r="1941" spans="1:18" ht="24">
      <c r="A1941" s="493"/>
      <c r="B1941" s="387">
        <v>46176</v>
      </c>
      <c r="C1941" s="388">
        <v>46143</v>
      </c>
      <c r="D1941" s="495" t="s">
        <v>248</v>
      </c>
      <c r="E1941" s="484" t="s">
        <v>592</v>
      </c>
      <c r="F1941" s="498">
        <v>1988.5</v>
      </c>
      <c r="G1941" s="486" t="s">
        <v>3545</v>
      </c>
      <c r="H1941" s="462" t="s">
        <v>737</v>
      </c>
      <c r="I1941" s="484" t="s">
        <v>2608</v>
      </c>
      <c r="J1941" s="487" t="s">
        <v>2609</v>
      </c>
      <c r="K1941" s="183"/>
      <c r="L1941" s="183"/>
      <c r="M1941" s="484" t="s">
        <v>707</v>
      </c>
      <c r="N1941" s="487">
        <v>777</v>
      </c>
      <c r="O1941" s="487" t="s">
        <v>2541</v>
      </c>
      <c r="P1941" s="484" t="s">
        <v>1554</v>
      </c>
      <c r="Q1941" s="458"/>
      <c r="R1941" s="459"/>
    </row>
    <row r="1942" spans="1:18" ht="36">
      <c r="A1942" s="493"/>
      <c r="B1942" s="387">
        <v>46176</v>
      </c>
      <c r="C1942" s="388">
        <v>46143</v>
      </c>
      <c r="D1942" s="495" t="s">
        <v>248</v>
      </c>
      <c r="E1942" s="484" t="s">
        <v>743</v>
      </c>
      <c r="F1942" s="498">
        <v>5746.21</v>
      </c>
      <c r="G1942" s="486" t="s">
        <v>3546</v>
      </c>
      <c r="H1942" s="389" t="s">
        <v>737</v>
      </c>
      <c r="I1942" s="484" t="s">
        <v>2226</v>
      </c>
      <c r="J1942" s="487" t="s">
        <v>2227</v>
      </c>
      <c r="K1942" s="183"/>
      <c r="L1942" s="183"/>
      <c r="M1942" s="484" t="s">
        <v>707</v>
      </c>
      <c r="N1942" s="487">
        <v>83</v>
      </c>
      <c r="O1942" s="487" t="s">
        <v>2541</v>
      </c>
      <c r="P1942" s="484" t="s">
        <v>1554</v>
      </c>
      <c r="Q1942" s="458"/>
      <c r="R1942" s="459"/>
    </row>
    <row r="1943" spans="1:18" ht="36">
      <c r="A1943" s="493"/>
      <c r="B1943" s="387">
        <v>46176</v>
      </c>
      <c r="C1943" s="388">
        <v>46143</v>
      </c>
      <c r="D1943" s="495" t="s">
        <v>248</v>
      </c>
      <c r="E1943" s="484" t="s">
        <v>592</v>
      </c>
      <c r="F1943" s="498">
        <v>1411.35</v>
      </c>
      <c r="G1943" s="486" t="s">
        <v>2794</v>
      </c>
      <c r="H1943" s="462" t="s">
        <v>737</v>
      </c>
      <c r="I1943" s="484" t="s">
        <v>2608</v>
      </c>
      <c r="J1943" s="487" t="s">
        <v>2609</v>
      </c>
      <c r="K1943" s="183"/>
      <c r="L1943" s="183"/>
      <c r="M1943" s="484" t="s">
        <v>707</v>
      </c>
      <c r="N1943" s="487">
        <v>775</v>
      </c>
      <c r="O1943" s="487" t="s">
        <v>2541</v>
      </c>
      <c r="P1943" s="484" t="s">
        <v>1554</v>
      </c>
      <c r="Q1943" s="458"/>
      <c r="R1943" s="459"/>
    </row>
    <row r="1944" spans="1:18" ht="48">
      <c r="A1944" s="493"/>
      <c r="B1944" s="387">
        <v>46176</v>
      </c>
      <c r="C1944" s="388">
        <v>46143</v>
      </c>
      <c r="D1944" s="495" t="s">
        <v>248</v>
      </c>
      <c r="E1944" s="59" t="s">
        <v>169</v>
      </c>
      <c r="F1944" s="498">
        <v>234.9</v>
      </c>
      <c r="G1944" s="486" t="s">
        <v>3548</v>
      </c>
      <c r="H1944" s="462" t="s">
        <v>278</v>
      </c>
      <c r="I1944" s="484" t="s">
        <v>3365</v>
      </c>
      <c r="J1944" s="487" t="s">
        <v>773</v>
      </c>
      <c r="K1944" s="183"/>
      <c r="L1944" s="183"/>
      <c r="M1944" s="484" t="s">
        <v>704</v>
      </c>
      <c r="N1944" s="487">
        <v>23739</v>
      </c>
      <c r="O1944" s="487" t="s">
        <v>2537</v>
      </c>
      <c r="P1944" s="484" t="s">
        <v>1553</v>
      </c>
      <c r="Q1944" s="458"/>
      <c r="R1944" s="459"/>
    </row>
    <row r="1945" spans="1:18" ht="48">
      <c r="A1945" s="493"/>
      <c r="B1945" s="387">
        <v>46176</v>
      </c>
      <c r="C1945" s="388">
        <v>46174</v>
      </c>
      <c r="D1945" s="39" t="s">
        <v>353</v>
      </c>
      <c r="E1945" s="39" t="s">
        <v>153</v>
      </c>
      <c r="F1945" s="498">
        <v>18000</v>
      </c>
      <c r="G1945" s="486" t="s">
        <v>3549</v>
      </c>
      <c r="H1945" s="389" t="s">
        <v>280</v>
      </c>
      <c r="I1945" s="484" t="s">
        <v>3366</v>
      </c>
      <c r="J1945" s="487" t="s">
        <v>3367</v>
      </c>
      <c r="K1945" s="183"/>
      <c r="L1945" s="183"/>
      <c r="M1945" s="484" t="s">
        <v>708</v>
      </c>
      <c r="N1945" s="487">
        <v>18</v>
      </c>
      <c r="O1945" s="487" t="s">
        <v>3293</v>
      </c>
      <c r="P1945" s="484" t="s">
        <v>1553</v>
      </c>
      <c r="Q1945" s="458"/>
      <c r="R1945" s="459"/>
    </row>
    <row r="1946" spans="1:18" ht="60">
      <c r="A1946" s="493"/>
      <c r="B1946" s="387">
        <v>46176</v>
      </c>
      <c r="C1946" s="388">
        <v>46143</v>
      </c>
      <c r="D1946" s="495" t="s">
        <v>248</v>
      </c>
      <c r="E1946" s="484" t="s">
        <v>582</v>
      </c>
      <c r="F1946" s="498">
        <v>105.93</v>
      </c>
      <c r="G1946" s="486" t="s">
        <v>2303</v>
      </c>
      <c r="H1946" s="389" t="s">
        <v>737</v>
      </c>
      <c r="I1946" s="484" t="s">
        <v>614</v>
      </c>
      <c r="J1946" s="487" t="s">
        <v>615</v>
      </c>
      <c r="K1946" s="183"/>
      <c r="L1946" s="183"/>
      <c r="M1946" s="484" t="s">
        <v>704</v>
      </c>
      <c r="N1946" s="487">
        <v>723548</v>
      </c>
      <c r="O1946" s="487" t="s">
        <v>2538</v>
      </c>
      <c r="P1946" s="484" t="s">
        <v>1553</v>
      </c>
      <c r="Q1946" s="458"/>
      <c r="R1946" s="459"/>
    </row>
    <row r="1947" spans="1:18" ht="60">
      <c r="A1947" s="493"/>
      <c r="B1947" s="387">
        <v>46176</v>
      </c>
      <c r="C1947" s="388">
        <v>46143</v>
      </c>
      <c r="D1947" s="495" t="s">
        <v>248</v>
      </c>
      <c r="E1947" s="484" t="s">
        <v>582</v>
      </c>
      <c r="F1947" s="498">
        <v>52.37</v>
      </c>
      <c r="G1947" s="486" t="s">
        <v>2303</v>
      </c>
      <c r="H1947" s="389" t="s">
        <v>737</v>
      </c>
      <c r="I1947" s="484" t="s">
        <v>614</v>
      </c>
      <c r="J1947" s="487" t="s">
        <v>615</v>
      </c>
      <c r="K1947" s="183"/>
      <c r="L1947" s="183"/>
      <c r="M1947" s="484" t="s">
        <v>704</v>
      </c>
      <c r="N1947" s="487">
        <v>589859</v>
      </c>
      <c r="O1947" s="487" t="s">
        <v>3487</v>
      </c>
      <c r="P1947" s="484" t="s">
        <v>1553</v>
      </c>
      <c r="Q1947" s="458"/>
      <c r="R1947" s="459"/>
    </row>
    <row r="1948" spans="1:18" ht="60">
      <c r="A1948" s="493"/>
      <c r="B1948" s="387">
        <v>46176</v>
      </c>
      <c r="C1948" s="388">
        <v>46143</v>
      </c>
      <c r="D1948" s="495" t="s">
        <v>248</v>
      </c>
      <c r="E1948" s="484" t="s">
        <v>582</v>
      </c>
      <c r="F1948" s="498">
        <v>52.48</v>
      </c>
      <c r="G1948" s="486" t="s">
        <v>2303</v>
      </c>
      <c r="H1948" s="389" t="s">
        <v>737</v>
      </c>
      <c r="I1948" s="484" t="s">
        <v>614</v>
      </c>
      <c r="J1948" s="487" t="s">
        <v>615</v>
      </c>
      <c r="K1948" s="183"/>
      <c r="L1948" s="183"/>
      <c r="M1948" s="484" t="s">
        <v>704</v>
      </c>
      <c r="N1948" s="487">
        <v>627031</v>
      </c>
      <c r="O1948" s="487" t="s">
        <v>2536</v>
      </c>
      <c r="P1948" s="484" t="s">
        <v>1553</v>
      </c>
      <c r="Q1948" s="458"/>
      <c r="R1948" s="459"/>
    </row>
    <row r="1949" spans="1:18" ht="60">
      <c r="A1949" s="493"/>
      <c r="B1949" s="387">
        <v>46176</v>
      </c>
      <c r="C1949" s="388">
        <v>46113</v>
      </c>
      <c r="D1949" s="495" t="s">
        <v>248</v>
      </c>
      <c r="E1949" s="484" t="s">
        <v>582</v>
      </c>
      <c r="F1949" s="498">
        <v>739.35</v>
      </c>
      <c r="G1949" s="486" t="s">
        <v>2303</v>
      </c>
      <c r="H1949" s="389" t="s">
        <v>737</v>
      </c>
      <c r="I1949" s="484" t="s">
        <v>614</v>
      </c>
      <c r="J1949" s="487" t="s">
        <v>615</v>
      </c>
      <c r="K1949" s="183"/>
      <c r="L1949" s="183"/>
      <c r="M1949" s="484" t="s">
        <v>704</v>
      </c>
      <c r="N1949" s="487">
        <v>5383546</v>
      </c>
      <c r="O1949" s="487" t="s">
        <v>2107</v>
      </c>
      <c r="P1949" s="484" t="s">
        <v>1553</v>
      </c>
      <c r="Q1949" s="458"/>
      <c r="R1949" s="459"/>
    </row>
    <row r="1950" spans="1:18" ht="60">
      <c r="A1950" s="493"/>
      <c r="B1950" s="387">
        <v>46176</v>
      </c>
      <c r="C1950" s="388">
        <v>46174</v>
      </c>
      <c r="D1950" s="495" t="s">
        <v>248</v>
      </c>
      <c r="E1950" s="484" t="s">
        <v>597</v>
      </c>
      <c r="F1950" s="498">
        <v>868.67</v>
      </c>
      <c r="G1950" s="486" t="s">
        <v>3550</v>
      </c>
      <c r="H1950" s="462" t="s">
        <v>278</v>
      </c>
      <c r="I1950" s="484" t="s">
        <v>1472</v>
      </c>
      <c r="J1950" s="487" t="s">
        <v>1473</v>
      </c>
      <c r="K1950" s="183"/>
      <c r="L1950" s="183"/>
      <c r="M1950" s="484" t="s">
        <v>706</v>
      </c>
      <c r="N1950" s="487">
        <v>28446</v>
      </c>
      <c r="O1950" s="487" t="s">
        <v>3294</v>
      </c>
      <c r="P1950" s="484" t="s">
        <v>1553</v>
      </c>
      <c r="Q1950" s="458"/>
      <c r="R1950" s="459"/>
    </row>
    <row r="1951" spans="1:18" ht="72">
      <c r="A1951" s="493"/>
      <c r="B1951" s="387">
        <v>46176</v>
      </c>
      <c r="C1951" s="388">
        <v>46174</v>
      </c>
      <c r="D1951" s="495" t="s">
        <v>248</v>
      </c>
      <c r="E1951" s="484" t="s">
        <v>597</v>
      </c>
      <c r="F1951" s="498">
        <v>842.6</v>
      </c>
      <c r="G1951" s="486" t="s">
        <v>3551</v>
      </c>
      <c r="H1951" s="462" t="s">
        <v>737</v>
      </c>
      <c r="I1951" s="484" t="s">
        <v>1472</v>
      </c>
      <c r="J1951" s="487" t="s">
        <v>1473</v>
      </c>
      <c r="K1951" s="183"/>
      <c r="L1951" s="183"/>
      <c r="M1951" s="484" t="s">
        <v>706</v>
      </c>
      <c r="N1951" s="487">
        <v>21666</v>
      </c>
      <c r="O1951" s="487" t="s">
        <v>3294</v>
      </c>
      <c r="P1951" s="484" t="s">
        <v>1553</v>
      </c>
      <c r="Q1951" s="458"/>
      <c r="R1951" s="459"/>
    </row>
    <row r="1952" spans="1:18" ht="36">
      <c r="A1952" s="493"/>
      <c r="B1952" s="387">
        <v>46176</v>
      </c>
      <c r="C1952" s="388">
        <v>46174</v>
      </c>
      <c r="D1952" s="495" t="s">
        <v>248</v>
      </c>
      <c r="E1952" s="484" t="s">
        <v>597</v>
      </c>
      <c r="F1952" s="498">
        <v>195.02</v>
      </c>
      <c r="G1952" s="486" t="s">
        <v>3552</v>
      </c>
      <c r="H1952" s="462" t="s">
        <v>736</v>
      </c>
      <c r="I1952" s="484" t="s">
        <v>1472</v>
      </c>
      <c r="J1952" s="487" t="s">
        <v>1473</v>
      </c>
      <c r="K1952" s="183"/>
      <c r="L1952" s="183"/>
      <c r="M1952" s="484" t="s">
        <v>706</v>
      </c>
      <c r="N1952" s="487">
        <v>14505</v>
      </c>
      <c r="O1952" s="487" t="s">
        <v>3294</v>
      </c>
      <c r="P1952" s="484" t="s">
        <v>1553</v>
      </c>
      <c r="Q1952" s="458"/>
      <c r="R1952" s="459"/>
    </row>
    <row r="1953" spans="1:18" ht="84">
      <c r="A1953" s="493"/>
      <c r="B1953" s="387">
        <v>46176</v>
      </c>
      <c r="C1953" s="388">
        <v>46174</v>
      </c>
      <c r="D1953" s="495" t="s">
        <v>248</v>
      </c>
      <c r="E1953" s="60" t="s">
        <v>505</v>
      </c>
      <c r="F1953" s="498">
        <v>566.97</v>
      </c>
      <c r="G1953" s="486" t="s">
        <v>3553</v>
      </c>
      <c r="H1953" s="462" t="s">
        <v>278</v>
      </c>
      <c r="I1953" s="484" t="s">
        <v>3368</v>
      </c>
      <c r="J1953" s="487" t="s">
        <v>3369</v>
      </c>
      <c r="K1953" s="183"/>
      <c r="L1953" s="183"/>
      <c r="M1953" s="484" t="s">
        <v>704</v>
      </c>
      <c r="N1953" s="487">
        <v>18626</v>
      </c>
      <c r="O1953" s="487" t="s">
        <v>3294</v>
      </c>
      <c r="P1953" s="484" t="s">
        <v>1553</v>
      </c>
      <c r="Q1953" s="458"/>
      <c r="R1953" s="459"/>
    </row>
    <row r="1954" spans="1:18" ht="48">
      <c r="A1954" s="493"/>
      <c r="B1954" s="387">
        <v>46176</v>
      </c>
      <c r="C1954" s="388">
        <v>46174</v>
      </c>
      <c r="D1954" s="495" t="s">
        <v>248</v>
      </c>
      <c r="E1954" s="484" t="s">
        <v>597</v>
      </c>
      <c r="F1954" s="498">
        <v>2130.8200000000002</v>
      </c>
      <c r="G1954" s="486" t="s">
        <v>3554</v>
      </c>
      <c r="H1954" s="462" t="s">
        <v>278</v>
      </c>
      <c r="I1954" s="484" t="s">
        <v>2620</v>
      </c>
      <c r="J1954" s="487" t="s">
        <v>2621</v>
      </c>
      <c r="K1954" s="183"/>
      <c r="L1954" s="183"/>
      <c r="M1954" s="484" t="s">
        <v>706</v>
      </c>
      <c r="N1954" s="487">
        <v>2057887491</v>
      </c>
      <c r="O1954" s="487" t="s">
        <v>3294</v>
      </c>
      <c r="P1954" s="484" t="s">
        <v>1553</v>
      </c>
      <c r="Q1954" s="458"/>
      <c r="R1954" s="459"/>
    </row>
    <row r="1955" spans="1:18" ht="48">
      <c r="A1955" s="493"/>
      <c r="B1955" s="387">
        <v>46176</v>
      </c>
      <c r="C1955" s="388">
        <v>46174</v>
      </c>
      <c r="D1955" s="495" t="s">
        <v>248</v>
      </c>
      <c r="E1955" s="484" t="s">
        <v>597</v>
      </c>
      <c r="F1955" s="498">
        <v>1020.27</v>
      </c>
      <c r="G1955" s="486" t="s">
        <v>3555</v>
      </c>
      <c r="H1955" s="462" t="s">
        <v>278</v>
      </c>
      <c r="I1955" s="484" t="s">
        <v>2620</v>
      </c>
      <c r="J1955" s="487" t="s">
        <v>2621</v>
      </c>
      <c r="K1955" s="183"/>
      <c r="L1955" s="183"/>
      <c r="M1955" s="484" t="s">
        <v>706</v>
      </c>
      <c r="N1955" s="487">
        <v>2057887492</v>
      </c>
      <c r="O1955" s="487" t="s">
        <v>3294</v>
      </c>
      <c r="P1955" s="484" t="s">
        <v>1553</v>
      </c>
      <c r="Q1955" s="458"/>
      <c r="R1955" s="459"/>
    </row>
    <row r="1956" spans="1:18" ht="48">
      <c r="A1956" s="493"/>
      <c r="B1956" s="387">
        <v>46176</v>
      </c>
      <c r="C1956" s="388">
        <v>46174</v>
      </c>
      <c r="D1956" s="495" t="s">
        <v>248</v>
      </c>
      <c r="E1956" s="60" t="s">
        <v>0</v>
      </c>
      <c r="F1956" s="498">
        <v>143.4</v>
      </c>
      <c r="G1956" s="486" t="s">
        <v>3556</v>
      </c>
      <c r="H1956" s="389" t="s">
        <v>278</v>
      </c>
      <c r="I1956" s="484" t="s">
        <v>1472</v>
      </c>
      <c r="J1956" s="487" t="s">
        <v>1473</v>
      </c>
      <c r="K1956" s="183"/>
      <c r="L1956" s="183"/>
      <c r="M1956" s="484" t="s">
        <v>706</v>
      </c>
      <c r="N1956" s="487">
        <v>40722</v>
      </c>
      <c r="O1956" s="487" t="s">
        <v>3294</v>
      </c>
      <c r="P1956" s="484" t="s">
        <v>1553</v>
      </c>
      <c r="Q1956" s="458"/>
      <c r="R1956" s="459"/>
    </row>
    <row r="1957" spans="1:18" ht="36">
      <c r="A1957" s="493"/>
      <c r="B1957" s="387">
        <v>46176</v>
      </c>
      <c r="C1957" s="388">
        <v>46174</v>
      </c>
      <c r="D1957" s="495" t="s">
        <v>248</v>
      </c>
      <c r="E1957" s="484" t="s">
        <v>597</v>
      </c>
      <c r="F1957" s="498">
        <v>103.6</v>
      </c>
      <c r="G1957" s="486" t="s">
        <v>3557</v>
      </c>
      <c r="H1957" s="462" t="s">
        <v>278</v>
      </c>
      <c r="I1957" s="484" t="s">
        <v>1472</v>
      </c>
      <c r="J1957" s="487" t="s">
        <v>1473</v>
      </c>
      <c r="K1957" s="183"/>
      <c r="L1957" s="183"/>
      <c r="M1957" s="484" t="s">
        <v>706</v>
      </c>
      <c r="N1957" s="487">
        <v>16122</v>
      </c>
      <c r="O1957" s="487" t="s">
        <v>3294</v>
      </c>
      <c r="P1957" s="484" t="s">
        <v>1553</v>
      </c>
      <c r="Q1957" s="458"/>
      <c r="R1957" s="459"/>
    </row>
    <row r="1958" spans="1:18" ht="36">
      <c r="A1958" s="493"/>
      <c r="B1958" s="387">
        <v>46176</v>
      </c>
      <c r="C1958" s="388">
        <v>46174</v>
      </c>
      <c r="D1958" s="495" t="s">
        <v>248</v>
      </c>
      <c r="E1958" s="60" t="s">
        <v>454</v>
      </c>
      <c r="F1958" s="498">
        <v>1800</v>
      </c>
      <c r="G1958" s="486" t="s">
        <v>3558</v>
      </c>
      <c r="H1958" s="389" t="s">
        <v>1418</v>
      </c>
      <c r="I1958" s="484" t="s">
        <v>1066</v>
      </c>
      <c r="J1958" s="487" t="s">
        <v>1067</v>
      </c>
      <c r="K1958" s="183"/>
      <c r="L1958" s="183"/>
      <c r="M1958" s="484" t="s">
        <v>708</v>
      </c>
      <c r="N1958" s="487">
        <v>76650</v>
      </c>
      <c r="O1958" s="487" t="s">
        <v>3294</v>
      </c>
      <c r="P1958" s="484" t="s">
        <v>1553</v>
      </c>
      <c r="Q1958" s="458"/>
      <c r="R1958" s="459"/>
    </row>
    <row r="1959" spans="1:18" ht="36">
      <c r="A1959" s="493"/>
      <c r="B1959" s="387">
        <v>46176</v>
      </c>
      <c r="C1959" s="388">
        <v>46174</v>
      </c>
      <c r="D1959" s="495" t="s">
        <v>248</v>
      </c>
      <c r="E1959" s="60" t="s">
        <v>454</v>
      </c>
      <c r="F1959" s="498">
        <v>1350</v>
      </c>
      <c r="G1959" s="486" t="s">
        <v>3559</v>
      </c>
      <c r="H1959" s="389" t="s">
        <v>1418</v>
      </c>
      <c r="I1959" s="484" t="s">
        <v>1068</v>
      </c>
      <c r="J1959" s="487" t="s">
        <v>1069</v>
      </c>
      <c r="K1959" s="183"/>
      <c r="L1959" s="183"/>
      <c r="M1959" s="484" t="s">
        <v>708</v>
      </c>
      <c r="N1959" s="487">
        <v>76651</v>
      </c>
      <c r="O1959" s="487" t="s">
        <v>3294</v>
      </c>
      <c r="P1959" s="484" t="s">
        <v>1553</v>
      </c>
      <c r="Q1959" s="458"/>
      <c r="R1959" s="459"/>
    </row>
    <row r="1960" spans="1:18" ht="36">
      <c r="A1960" s="493"/>
      <c r="B1960" s="387">
        <v>46176</v>
      </c>
      <c r="C1960" s="388">
        <v>46174</v>
      </c>
      <c r="D1960" s="495" t="s">
        <v>248</v>
      </c>
      <c r="E1960" s="60" t="s">
        <v>454</v>
      </c>
      <c r="F1960" s="498">
        <v>1500</v>
      </c>
      <c r="G1960" s="486" t="s">
        <v>3559</v>
      </c>
      <c r="H1960" s="389" t="s">
        <v>1418</v>
      </c>
      <c r="I1960" s="484" t="s">
        <v>1070</v>
      </c>
      <c r="J1960" s="487" t="s">
        <v>1071</v>
      </c>
      <c r="K1960" s="183"/>
      <c r="L1960" s="183"/>
      <c r="M1960" s="484" t="s">
        <v>708</v>
      </c>
      <c r="N1960" s="487">
        <v>76652</v>
      </c>
      <c r="O1960" s="487" t="s">
        <v>3294</v>
      </c>
      <c r="P1960" s="484" t="s">
        <v>1553</v>
      </c>
      <c r="Q1960" s="458"/>
      <c r="R1960" s="459"/>
    </row>
    <row r="1961" spans="1:18" ht="36">
      <c r="A1961" s="493"/>
      <c r="B1961" s="387">
        <v>46176</v>
      </c>
      <c r="C1961" s="388">
        <v>46174</v>
      </c>
      <c r="D1961" s="495" t="s">
        <v>248</v>
      </c>
      <c r="E1961" s="60" t="s">
        <v>454</v>
      </c>
      <c r="F1961" s="498">
        <v>1800</v>
      </c>
      <c r="G1961" s="486" t="s">
        <v>3559</v>
      </c>
      <c r="H1961" s="389" t="s">
        <v>1418</v>
      </c>
      <c r="I1961" s="484" t="s">
        <v>1072</v>
      </c>
      <c r="J1961" s="487" t="s">
        <v>1073</v>
      </c>
      <c r="K1961" s="183"/>
      <c r="L1961" s="183"/>
      <c r="M1961" s="484" t="s">
        <v>708</v>
      </c>
      <c r="N1961" s="487">
        <v>76653</v>
      </c>
      <c r="O1961" s="487" t="s">
        <v>3294</v>
      </c>
      <c r="P1961" s="484" t="s">
        <v>1553</v>
      </c>
      <c r="Q1961" s="458"/>
      <c r="R1961" s="459"/>
    </row>
    <row r="1962" spans="1:18" ht="36">
      <c r="A1962" s="493"/>
      <c r="B1962" s="387">
        <v>46176</v>
      </c>
      <c r="C1962" s="388">
        <v>46174</v>
      </c>
      <c r="D1962" s="495" t="s">
        <v>248</v>
      </c>
      <c r="E1962" s="60" t="s">
        <v>454</v>
      </c>
      <c r="F1962" s="498">
        <v>1550</v>
      </c>
      <c r="G1962" s="486" t="s">
        <v>3559</v>
      </c>
      <c r="H1962" s="389" t="s">
        <v>1418</v>
      </c>
      <c r="I1962" s="484" t="s">
        <v>1074</v>
      </c>
      <c r="J1962" s="487" t="s">
        <v>1075</v>
      </c>
      <c r="K1962" s="183"/>
      <c r="L1962" s="183"/>
      <c r="M1962" s="484" t="s">
        <v>708</v>
      </c>
      <c r="N1962" s="487">
        <v>76654</v>
      </c>
      <c r="O1962" s="487" t="s">
        <v>3294</v>
      </c>
      <c r="P1962" s="484" t="s">
        <v>1553</v>
      </c>
      <c r="Q1962" s="458"/>
      <c r="R1962" s="459"/>
    </row>
    <row r="1963" spans="1:18" ht="36">
      <c r="A1963" s="493"/>
      <c r="B1963" s="387">
        <v>46176</v>
      </c>
      <c r="C1963" s="388">
        <v>46174</v>
      </c>
      <c r="D1963" s="495" t="s">
        <v>248</v>
      </c>
      <c r="E1963" s="60" t="s">
        <v>454</v>
      </c>
      <c r="F1963" s="498">
        <v>1800</v>
      </c>
      <c r="G1963" s="486" t="s">
        <v>3559</v>
      </c>
      <c r="H1963" s="389" t="s">
        <v>1418</v>
      </c>
      <c r="I1963" s="484" t="s">
        <v>1076</v>
      </c>
      <c r="J1963" s="487" t="s">
        <v>1077</v>
      </c>
      <c r="K1963" s="183"/>
      <c r="L1963" s="183"/>
      <c r="M1963" s="484" t="s">
        <v>708</v>
      </c>
      <c r="N1963" s="487">
        <v>76655</v>
      </c>
      <c r="O1963" s="487" t="s">
        <v>3294</v>
      </c>
      <c r="P1963" s="484" t="s">
        <v>1553</v>
      </c>
      <c r="Q1963" s="458"/>
      <c r="R1963" s="459"/>
    </row>
    <row r="1964" spans="1:18" ht="36">
      <c r="A1964" s="493"/>
      <c r="B1964" s="387">
        <v>46176</v>
      </c>
      <c r="C1964" s="388">
        <v>46174</v>
      </c>
      <c r="D1964" s="495" t="s">
        <v>248</v>
      </c>
      <c r="E1964" s="60" t="s">
        <v>454</v>
      </c>
      <c r="F1964" s="498">
        <v>1740</v>
      </c>
      <c r="G1964" s="486" t="s">
        <v>3559</v>
      </c>
      <c r="H1964" s="389" t="s">
        <v>1418</v>
      </c>
      <c r="I1964" s="484" t="s">
        <v>1078</v>
      </c>
      <c r="J1964" s="487" t="s">
        <v>1079</v>
      </c>
      <c r="K1964" s="183"/>
      <c r="L1964" s="183"/>
      <c r="M1964" s="484" t="s">
        <v>708</v>
      </c>
      <c r="N1964" s="487">
        <v>76656</v>
      </c>
      <c r="O1964" s="487" t="s">
        <v>3294</v>
      </c>
      <c r="P1964" s="484" t="s">
        <v>1553</v>
      </c>
      <c r="Q1964" s="458"/>
      <c r="R1964" s="459"/>
    </row>
    <row r="1965" spans="1:18" ht="36">
      <c r="A1965" s="493"/>
      <c r="B1965" s="387">
        <v>46176</v>
      </c>
      <c r="C1965" s="388">
        <v>46174</v>
      </c>
      <c r="D1965" s="495" t="s">
        <v>248</v>
      </c>
      <c r="E1965" s="60" t="s">
        <v>454</v>
      </c>
      <c r="F1965" s="498">
        <v>1350</v>
      </c>
      <c r="G1965" s="486" t="s">
        <v>3559</v>
      </c>
      <c r="H1965" s="389" t="s">
        <v>1418</v>
      </c>
      <c r="I1965" s="484" t="s">
        <v>1080</v>
      </c>
      <c r="J1965" s="487" t="s">
        <v>1081</v>
      </c>
      <c r="K1965" s="183"/>
      <c r="L1965" s="183"/>
      <c r="M1965" s="484" t="s">
        <v>708</v>
      </c>
      <c r="N1965" s="487">
        <v>76657</v>
      </c>
      <c r="O1965" s="487" t="s">
        <v>3294</v>
      </c>
      <c r="P1965" s="484" t="s">
        <v>1553</v>
      </c>
      <c r="Q1965" s="458"/>
      <c r="R1965" s="459"/>
    </row>
    <row r="1966" spans="1:18" ht="36">
      <c r="A1966" s="493"/>
      <c r="B1966" s="387">
        <v>46176</v>
      </c>
      <c r="C1966" s="388">
        <v>46174</v>
      </c>
      <c r="D1966" s="495" t="s">
        <v>248</v>
      </c>
      <c r="E1966" s="60" t="s">
        <v>454</v>
      </c>
      <c r="F1966" s="498">
        <v>1620</v>
      </c>
      <c r="G1966" s="486" t="s">
        <v>3559</v>
      </c>
      <c r="H1966" s="389" t="s">
        <v>1418</v>
      </c>
      <c r="I1966" s="484" t="s">
        <v>1082</v>
      </c>
      <c r="J1966" s="487" t="s">
        <v>1083</v>
      </c>
      <c r="K1966" s="183"/>
      <c r="L1966" s="183"/>
      <c r="M1966" s="484" t="s">
        <v>708</v>
      </c>
      <c r="N1966" s="487">
        <v>76658</v>
      </c>
      <c r="O1966" s="487" t="s">
        <v>3294</v>
      </c>
      <c r="P1966" s="484" t="s">
        <v>1553</v>
      </c>
      <c r="Q1966" s="458"/>
      <c r="R1966" s="459"/>
    </row>
    <row r="1967" spans="1:18" ht="36">
      <c r="A1967" s="493"/>
      <c r="B1967" s="387">
        <v>46176</v>
      </c>
      <c r="C1967" s="388">
        <v>46174</v>
      </c>
      <c r="D1967" s="495" t="s">
        <v>248</v>
      </c>
      <c r="E1967" s="60" t="s">
        <v>454</v>
      </c>
      <c r="F1967" s="498">
        <v>1500</v>
      </c>
      <c r="G1967" s="486" t="s">
        <v>3559</v>
      </c>
      <c r="H1967" s="389" t="s">
        <v>1418</v>
      </c>
      <c r="I1967" s="484" t="s">
        <v>1084</v>
      </c>
      <c r="J1967" s="487" t="s">
        <v>1085</v>
      </c>
      <c r="K1967" s="183"/>
      <c r="L1967" s="183"/>
      <c r="M1967" s="484" t="s">
        <v>708</v>
      </c>
      <c r="N1967" s="487">
        <v>76659</v>
      </c>
      <c r="O1967" s="487" t="s">
        <v>3294</v>
      </c>
      <c r="P1967" s="484" t="s">
        <v>1553</v>
      </c>
      <c r="Q1967" s="458"/>
      <c r="R1967" s="459"/>
    </row>
    <row r="1968" spans="1:18" ht="36">
      <c r="A1968" s="493"/>
      <c r="B1968" s="387">
        <v>46176</v>
      </c>
      <c r="C1968" s="388">
        <v>46174</v>
      </c>
      <c r="D1968" s="495" t="s">
        <v>248</v>
      </c>
      <c r="E1968" s="60" t="s">
        <v>454</v>
      </c>
      <c r="F1968" s="498">
        <v>1800</v>
      </c>
      <c r="G1968" s="486" t="s">
        <v>3559</v>
      </c>
      <c r="H1968" s="389" t="s">
        <v>1418</v>
      </c>
      <c r="I1968" s="484" t="s">
        <v>1086</v>
      </c>
      <c r="J1968" s="487" t="s">
        <v>1087</v>
      </c>
      <c r="K1968" s="183"/>
      <c r="L1968" s="183"/>
      <c r="M1968" s="484" t="s">
        <v>708</v>
      </c>
      <c r="N1968" s="487">
        <v>76660</v>
      </c>
      <c r="O1968" s="487" t="s">
        <v>3294</v>
      </c>
      <c r="P1968" s="484" t="s">
        <v>1553</v>
      </c>
      <c r="Q1968" s="458"/>
      <c r="R1968" s="459"/>
    </row>
    <row r="1969" spans="1:18" ht="36">
      <c r="A1969" s="493"/>
      <c r="B1969" s="387">
        <v>46176</v>
      </c>
      <c r="C1969" s="388">
        <v>46174</v>
      </c>
      <c r="D1969" s="495" t="s">
        <v>248</v>
      </c>
      <c r="E1969" s="60" t="s">
        <v>454</v>
      </c>
      <c r="F1969" s="498">
        <v>1350</v>
      </c>
      <c r="G1969" s="486" t="s">
        <v>3559</v>
      </c>
      <c r="H1969" s="389" t="s">
        <v>1418</v>
      </c>
      <c r="I1969" s="484" t="s">
        <v>1088</v>
      </c>
      <c r="J1969" s="487" t="s">
        <v>1089</v>
      </c>
      <c r="K1969" s="183"/>
      <c r="L1969" s="183"/>
      <c r="M1969" s="484" t="s">
        <v>708</v>
      </c>
      <c r="N1969" s="487">
        <v>76661</v>
      </c>
      <c r="O1969" s="487" t="s">
        <v>3294</v>
      </c>
      <c r="P1969" s="484" t="s">
        <v>1553</v>
      </c>
      <c r="Q1969" s="458"/>
      <c r="R1969" s="459"/>
    </row>
    <row r="1970" spans="1:18" ht="36">
      <c r="A1970" s="493"/>
      <c r="B1970" s="387">
        <v>46176</v>
      </c>
      <c r="C1970" s="388">
        <v>46174</v>
      </c>
      <c r="D1970" s="495" t="s">
        <v>248</v>
      </c>
      <c r="E1970" s="60" t="s">
        <v>454</v>
      </c>
      <c r="F1970" s="498">
        <v>1500</v>
      </c>
      <c r="G1970" s="486" t="s">
        <v>3559</v>
      </c>
      <c r="H1970" s="389" t="s">
        <v>1418</v>
      </c>
      <c r="I1970" s="484" t="s">
        <v>1090</v>
      </c>
      <c r="J1970" s="487" t="s">
        <v>1091</v>
      </c>
      <c r="K1970" s="183"/>
      <c r="L1970" s="183"/>
      <c r="M1970" s="484" t="s">
        <v>708</v>
      </c>
      <c r="N1970" s="487">
        <v>76662</v>
      </c>
      <c r="O1970" s="487" t="s">
        <v>3294</v>
      </c>
      <c r="P1970" s="484" t="s">
        <v>1553</v>
      </c>
      <c r="Q1970" s="458"/>
      <c r="R1970" s="459"/>
    </row>
    <row r="1971" spans="1:18" ht="48">
      <c r="A1971" s="493"/>
      <c r="B1971" s="387">
        <v>46176</v>
      </c>
      <c r="C1971" s="388">
        <v>46174</v>
      </c>
      <c r="D1971" s="495" t="s">
        <v>248</v>
      </c>
      <c r="E1971" s="60" t="s">
        <v>454</v>
      </c>
      <c r="F1971" s="498">
        <v>1800</v>
      </c>
      <c r="G1971" s="486" t="s">
        <v>3560</v>
      </c>
      <c r="H1971" s="389" t="s">
        <v>1418</v>
      </c>
      <c r="I1971" s="484" t="s">
        <v>2147</v>
      </c>
      <c r="J1971" s="487" t="s">
        <v>2148</v>
      </c>
      <c r="K1971" s="183"/>
      <c r="L1971" s="183"/>
      <c r="M1971" s="484" t="s">
        <v>708</v>
      </c>
      <c r="N1971" s="487">
        <v>76663</v>
      </c>
      <c r="O1971" s="487" t="s">
        <v>3294</v>
      </c>
      <c r="P1971" s="484" t="s">
        <v>1553</v>
      </c>
      <c r="Q1971" s="458"/>
      <c r="R1971" s="459"/>
    </row>
    <row r="1972" spans="1:18" ht="36">
      <c r="A1972" s="493"/>
      <c r="B1972" s="387">
        <v>46176</v>
      </c>
      <c r="C1972" s="388">
        <v>46174</v>
      </c>
      <c r="D1972" s="495" t="s">
        <v>248</v>
      </c>
      <c r="E1972" s="60" t="s">
        <v>454</v>
      </c>
      <c r="F1972" s="498">
        <v>1800</v>
      </c>
      <c r="G1972" s="486" t="s">
        <v>3559</v>
      </c>
      <c r="H1972" s="389" t="s">
        <v>1418</v>
      </c>
      <c r="I1972" s="484" t="s">
        <v>1092</v>
      </c>
      <c r="J1972" s="487" t="s">
        <v>1093</v>
      </c>
      <c r="K1972" s="183"/>
      <c r="L1972" s="183"/>
      <c r="M1972" s="484" t="s">
        <v>708</v>
      </c>
      <c r="N1972" s="487">
        <v>76664</v>
      </c>
      <c r="O1972" s="487" t="s">
        <v>3294</v>
      </c>
      <c r="P1972" s="484" t="s">
        <v>1553</v>
      </c>
      <c r="Q1972" s="458"/>
      <c r="R1972" s="459"/>
    </row>
    <row r="1973" spans="1:18" ht="36">
      <c r="A1973" s="493"/>
      <c r="B1973" s="387">
        <v>46176</v>
      </c>
      <c r="C1973" s="388">
        <v>46174</v>
      </c>
      <c r="D1973" s="495" t="s">
        <v>248</v>
      </c>
      <c r="E1973" s="60" t="s">
        <v>454</v>
      </c>
      <c r="F1973" s="498">
        <v>1800</v>
      </c>
      <c r="G1973" s="486" t="s">
        <v>3559</v>
      </c>
      <c r="H1973" s="389" t="s">
        <v>1418</v>
      </c>
      <c r="I1973" s="484" t="s">
        <v>1094</v>
      </c>
      <c r="J1973" s="487" t="s">
        <v>1095</v>
      </c>
      <c r="K1973" s="183"/>
      <c r="L1973" s="183"/>
      <c r="M1973" s="484" t="s">
        <v>708</v>
      </c>
      <c r="N1973" s="487">
        <v>76665</v>
      </c>
      <c r="O1973" s="487" t="s">
        <v>3294</v>
      </c>
      <c r="P1973" s="484" t="s">
        <v>1553</v>
      </c>
      <c r="Q1973" s="458"/>
      <c r="R1973" s="459"/>
    </row>
    <row r="1974" spans="1:18" ht="48">
      <c r="A1974" s="493"/>
      <c r="B1974" s="387">
        <v>46176</v>
      </c>
      <c r="C1974" s="388">
        <v>46174</v>
      </c>
      <c r="D1974" s="495" t="s">
        <v>248</v>
      </c>
      <c r="E1974" s="484" t="s">
        <v>597</v>
      </c>
      <c r="F1974" s="498">
        <v>2249.6999999999998</v>
      </c>
      <c r="G1974" s="486" t="s">
        <v>3561</v>
      </c>
      <c r="H1974" s="462" t="s">
        <v>738</v>
      </c>
      <c r="I1974" s="484" t="s">
        <v>1472</v>
      </c>
      <c r="J1974" s="487" t="s">
        <v>1473</v>
      </c>
      <c r="K1974" s="183"/>
      <c r="L1974" s="183"/>
      <c r="M1974" s="484" t="s">
        <v>706</v>
      </c>
      <c r="N1974" s="487">
        <v>241557</v>
      </c>
      <c r="O1974" s="487" t="s">
        <v>3294</v>
      </c>
      <c r="P1974" s="484" t="s">
        <v>1553</v>
      </c>
      <c r="Q1974" s="458"/>
      <c r="R1974" s="459"/>
    </row>
    <row r="1975" spans="1:18" ht="60">
      <c r="A1975" s="493"/>
      <c r="B1975" s="387">
        <v>46176</v>
      </c>
      <c r="C1975" s="388">
        <v>46174</v>
      </c>
      <c r="D1975" s="495" t="s">
        <v>248</v>
      </c>
      <c r="E1975" s="484" t="s">
        <v>597</v>
      </c>
      <c r="F1975" s="498">
        <v>4316</v>
      </c>
      <c r="G1975" s="486" t="s">
        <v>3562</v>
      </c>
      <c r="H1975" s="462" t="s">
        <v>737</v>
      </c>
      <c r="I1975" s="484" t="s">
        <v>3370</v>
      </c>
      <c r="J1975" s="487" t="s">
        <v>3371</v>
      </c>
      <c r="K1975" s="183"/>
      <c r="L1975" s="183"/>
      <c r="M1975" s="484" t="s">
        <v>706</v>
      </c>
      <c r="N1975" s="487">
        <v>2057887499</v>
      </c>
      <c r="O1975" s="487" t="s">
        <v>3294</v>
      </c>
      <c r="P1975" s="484" t="s">
        <v>1553</v>
      </c>
      <c r="Q1975" s="458"/>
      <c r="R1975" s="459"/>
    </row>
    <row r="1976" spans="1:18" ht="60">
      <c r="A1976" s="493"/>
      <c r="B1976" s="387">
        <v>46176</v>
      </c>
      <c r="C1976" s="388">
        <v>46174</v>
      </c>
      <c r="D1976" s="484" t="s">
        <v>166</v>
      </c>
      <c r="E1976" s="39" t="s">
        <v>231</v>
      </c>
      <c r="F1976" s="498">
        <v>270</v>
      </c>
      <c r="G1976" s="486" t="s">
        <v>3563</v>
      </c>
      <c r="H1976" s="389" t="s">
        <v>166</v>
      </c>
      <c r="I1976" s="484" t="s">
        <v>3372</v>
      </c>
      <c r="J1976" s="487" t="s">
        <v>2167</v>
      </c>
      <c r="K1976" s="183"/>
      <c r="L1976" s="183"/>
      <c r="M1976" s="484" t="s">
        <v>708</v>
      </c>
      <c r="N1976" s="487">
        <v>76706</v>
      </c>
      <c r="O1976" s="487" t="s">
        <v>3294</v>
      </c>
      <c r="P1976" s="484" t="s">
        <v>1553</v>
      </c>
      <c r="Q1976" s="458"/>
      <c r="R1976" s="459"/>
    </row>
    <row r="1977" spans="1:18" ht="60">
      <c r="A1977" s="493"/>
      <c r="B1977" s="387">
        <v>46176</v>
      </c>
      <c r="C1977" s="388">
        <v>46174</v>
      </c>
      <c r="D1977" s="484" t="s">
        <v>166</v>
      </c>
      <c r="E1977" s="39" t="s">
        <v>231</v>
      </c>
      <c r="F1977" s="498">
        <v>600</v>
      </c>
      <c r="G1977" s="486" t="s">
        <v>3564</v>
      </c>
      <c r="H1977" s="389" t="s">
        <v>166</v>
      </c>
      <c r="I1977" s="484" t="s">
        <v>2172</v>
      </c>
      <c r="J1977" s="487" t="s">
        <v>2173</v>
      </c>
      <c r="K1977" s="183"/>
      <c r="L1977" s="183"/>
      <c r="M1977" s="484" t="s">
        <v>708</v>
      </c>
      <c r="N1977" s="487">
        <v>76707</v>
      </c>
      <c r="O1977" s="487" t="s">
        <v>3294</v>
      </c>
      <c r="P1977" s="484" t="s">
        <v>1553</v>
      </c>
      <c r="Q1977" s="458"/>
      <c r="R1977" s="459"/>
    </row>
    <row r="1978" spans="1:18" ht="60">
      <c r="A1978" s="493"/>
      <c r="B1978" s="387">
        <v>46176</v>
      </c>
      <c r="C1978" s="388">
        <v>46174</v>
      </c>
      <c r="D1978" s="484" t="s">
        <v>166</v>
      </c>
      <c r="E1978" s="39" t="s">
        <v>231</v>
      </c>
      <c r="F1978" s="498">
        <v>270</v>
      </c>
      <c r="G1978" s="486" t="s">
        <v>3565</v>
      </c>
      <c r="H1978" s="389" t="s">
        <v>166</v>
      </c>
      <c r="I1978" s="484" t="s">
        <v>2184</v>
      </c>
      <c r="J1978" s="487" t="s">
        <v>2185</v>
      </c>
      <c r="K1978" s="183"/>
      <c r="L1978" s="183"/>
      <c r="M1978" s="484" t="s">
        <v>708</v>
      </c>
      <c r="N1978" s="487">
        <v>76708</v>
      </c>
      <c r="O1978" s="487" t="s">
        <v>3294</v>
      </c>
      <c r="P1978" s="484" t="s">
        <v>1553</v>
      </c>
      <c r="Q1978" s="458"/>
      <c r="R1978" s="459"/>
    </row>
    <row r="1979" spans="1:18" ht="36">
      <c r="A1979" s="493"/>
      <c r="B1979" s="387">
        <v>46176</v>
      </c>
      <c r="C1979" s="388">
        <v>46174</v>
      </c>
      <c r="D1979" s="495" t="s">
        <v>248</v>
      </c>
      <c r="E1979" s="60" t="s">
        <v>0</v>
      </c>
      <c r="F1979" s="498">
        <v>141</v>
      </c>
      <c r="G1979" s="486" t="s">
        <v>3566</v>
      </c>
      <c r="H1979" s="389" t="s">
        <v>278</v>
      </c>
      <c r="I1979" s="484" t="s">
        <v>1472</v>
      </c>
      <c r="J1979" s="487" t="s">
        <v>1473</v>
      </c>
      <c r="K1979" s="183"/>
      <c r="L1979" s="183"/>
      <c r="M1979" s="484" t="s">
        <v>706</v>
      </c>
      <c r="N1979" s="487">
        <v>62</v>
      </c>
      <c r="O1979" s="487" t="s">
        <v>3294</v>
      </c>
      <c r="P1979" s="484" t="s">
        <v>1553</v>
      </c>
      <c r="Q1979" s="458"/>
      <c r="R1979" s="459"/>
    </row>
    <row r="1980" spans="1:18" ht="24">
      <c r="A1980" s="493"/>
      <c r="B1980" s="387">
        <v>46176</v>
      </c>
      <c r="C1980" s="388">
        <v>46143</v>
      </c>
      <c r="D1980" s="484" t="s">
        <v>166</v>
      </c>
      <c r="E1980" s="484" t="s">
        <v>583</v>
      </c>
      <c r="F1980" s="497">
        <v>9602.3799999999992</v>
      </c>
      <c r="G1980" s="486" t="s">
        <v>3567</v>
      </c>
      <c r="H1980" s="389" t="s">
        <v>166</v>
      </c>
      <c r="I1980" s="484" t="s">
        <v>3373</v>
      </c>
      <c r="J1980" s="487" t="s">
        <v>3374</v>
      </c>
      <c r="K1980" s="183"/>
      <c r="L1980" s="183"/>
      <c r="M1980" s="484" t="s">
        <v>705</v>
      </c>
      <c r="N1980" s="487">
        <v>733</v>
      </c>
      <c r="O1980" s="487" t="s">
        <v>3486</v>
      </c>
      <c r="P1980" s="484" t="s">
        <v>1557</v>
      </c>
      <c r="Q1980" s="458"/>
      <c r="R1980" s="459"/>
    </row>
    <row r="1981" spans="1:18" ht="36">
      <c r="A1981" s="493"/>
      <c r="B1981" s="387">
        <v>46176</v>
      </c>
      <c r="C1981" s="388">
        <v>46143</v>
      </c>
      <c r="D1981" s="495" t="s">
        <v>248</v>
      </c>
      <c r="E1981" s="484" t="s">
        <v>588</v>
      </c>
      <c r="F1981" s="498">
        <v>1584.38</v>
      </c>
      <c r="G1981" s="486" t="s">
        <v>3568</v>
      </c>
      <c r="H1981" s="389" t="s">
        <v>278</v>
      </c>
      <c r="I1981" s="484" t="s">
        <v>630</v>
      </c>
      <c r="J1981" s="487" t="s">
        <v>631</v>
      </c>
      <c r="K1981" s="183"/>
      <c r="L1981" s="183"/>
      <c r="M1981" s="484" t="s">
        <v>704</v>
      </c>
      <c r="N1981" s="487">
        <v>75389</v>
      </c>
      <c r="O1981" s="487" t="s">
        <v>2546</v>
      </c>
      <c r="P1981" s="484" t="s">
        <v>1553</v>
      </c>
      <c r="Q1981" s="458"/>
      <c r="R1981" s="459"/>
    </row>
    <row r="1982" spans="1:18" ht="60">
      <c r="A1982" s="493"/>
      <c r="B1982" s="387">
        <v>46176</v>
      </c>
      <c r="C1982" s="388">
        <v>46143</v>
      </c>
      <c r="D1982" s="495" t="s">
        <v>248</v>
      </c>
      <c r="E1982" s="484" t="s">
        <v>582</v>
      </c>
      <c r="F1982" s="498">
        <v>105.91</v>
      </c>
      <c r="G1982" s="486" t="s">
        <v>2303</v>
      </c>
      <c r="H1982" s="389" t="s">
        <v>737</v>
      </c>
      <c r="I1982" s="484" t="s">
        <v>614</v>
      </c>
      <c r="J1982" s="487" t="s">
        <v>615</v>
      </c>
      <c r="K1982" s="183"/>
      <c r="L1982" s="183"/>
      <c r="M1982" s="484" t="s">
        <v>704</v>
      </c>
      <c r="N1982" s="487">
        <v>322913</v>
      </c>
      <c r="O1982" s="487" t="s">
        <v>2540</v>
      </c>
      <c r="P1982" s="484" t="s">
        <v>1553</v>
      </c>
      <c r="Q1982" s="458"/>
      <c r="R1982" s="459"/>
    </row>
    <row r="1983" spans="1:18" ht="24">
      <c r="A1983" s="493"/>
      <c r="B1983" s="387">
        <v>46176</v>
      </c>
      <c r="C1983" s="388">
        <v>46143</v>
      </c>
      <c r="D1983" s="484" t="s">
        <v>166</v>
      </c>
      <c r="E1983" s="484" t="s">
        <v>1210</v>
      </c>
      <c r="F1983" s="498">
        <v>1562.58</v>
      </c>
      <c r="G1983" s="486" t="s">
        <v>3569</v>
      </c>
      <c r="H1983" s="389" t="s">
        <v>166</v>
      </c>
      <c r="I1983" s="484" t="s">
        <v>1444</v>
      </c>
      <c r="J1983" s="487" t="s">
        <v>1445</v>
      </c>
      <c r="K1983" s="183"/>
      <c r="L1983" s="183"/>
      <c r="M1983" s="484" t="s">
        <v>708</v>
      </c>
      <c r="N1983" s="487">
        <v>536</v>
      </c>
      <c r="O1983" s="487" t="s">
        <v>2546</v>
      </c>
      <c r="P1983" s="484" t="s">
        <v>1555</v>
      </c>
      <c r="Q1983" s="458"/>
      <c r="R1983" s="459"/>
    </row>
    <row r="1984" spans="1:18" ht="24">
      <c r="A1984" s="493"/>
      <c r="B1984" s="387">
        <v>46176</v>
      </c>
      <c r="C1984" s="388">
        <v>46143</v>
      </c>
      <c r="D1984" s="484" t="s">
        <v>166</v>
      </c>
      <c r="E1984" s="484" t="s">
        <v>1210</v>
      </c>
      <c r="F1984" s="498">
        <v>486.3</v>
      </c>
      <c r="G1984" s="486" t="s">
        <v>3569</v>
      </c>
      <c r="H1984" s="389" t="s">
        <v>166</v>
      </c>
      <c r="I1984" s="484" t="s">
        <v>1435</v>
      </c>
      <c r="J1984" s="487" t="s">
        <v>1436</v>
      </c>
      <c r="K1984" s="183"/>
      <c r="L1984" s="183"/>
      <c r="M1984" s="484" t="s">
        <v>708</v>
      </c>
      <c r="N1984" s="487">
        <v>536</v>
      </c>
      <c r="O1984" s="487" t="s">
        <v>2546</v>
      </c>
      <c r="P1984" s="484" t="s">
        <v>1555</v>
      </c>
      <c r="Q1984" s="458"/>
      <c r="R1984" s="459"/>
    </row>
    <row r="1985" spans="1:18" ht="24">
      <c r="A1985" s="493"/>
      <c r="B1985" s="387">
        <v>46176</v>
      </c>
      <c r="C1985" s="388">
        <v>46143</v>
      </c>
      <c r="D1985" s="484" t="s">
        <v>166</v>
      </c>
      <c r="E1985" s="484" t="s">
        <v>1210</v>
      </c>
      <c r="F1985" s="498">
        <v>1501.5</v>
      </c>
      <c r="G1985" s="486" t="s">
        <v>3569</v>
      </c>
      <c r="H1985" s="389" t="s">
        <v>166</v>
      </c>
      <c r="I1985" s="484" t="s">
        <v>1439</v>
      </c>
      <c r="J1985" s="487" t="s">
        <v>770</v>
      </c>
      <c r="K1985" s="183"/>
      <c r="L1985" s="183"/>
      <c r="M1985" s="484" t="s">
        <v>708</v>
      </c>
      <c r="N1985" s="487">
        <v>536</v>
      </c>
      <c r="O1985" s="487" t="s">
        <v>2546</v>
      </c>
      <c r="P1985" s="484" t="s">
        <v>1555</v>
      </c>
      <c r="Q1985" s="458"/>
      <c r="R1985" s="459"/>
    </row>
    <row r="1986" spans="1:18" ht="24">
      <c r="A1986" s="493"/>
      <c r="B1986" s="387">
        <v>46176</v>
      </c>
      <c r="C1986" s="388">
        <v>46143</v>
      </c>
      <c r="D1986" s="484" t="s">
        <v>166</v>
      </c>
      <c r="E1986" s="484" t="s">
        <v>1210</v>
      </c>
      <c r="F1986" s="498">
        <v>1214.1199999999999</v>
      </c>
      <c r="G1986" s="486" t="s">
        <v>3569</v>
      </c>
      <c r="H1986" s="389" t="s">
        <v>166</v>
      </c>
      <c r="I1986" s="484" t="s">
        <v>1448</v>
      </c>
      <c r="J1986" s="487" t="s">
        <v>1449</v>
      </c>
      <c r="K1986" s="183"/>
      <c r="L1986" s="183"/>
      <c r="M1986" s="484" t="s">
        <v>708</v>
      </c>
      <c r="N1986" s="487">
        <v>536</v>
      </c>
      <c r="O1986" s="487" t="s">
        <v>2546</v>
      </c>
      <c r="P1986" s="484" t="s">
        <v>1555</v>
      </c>
      <c r="Q1986" s="458"/>
      <c r="R1986" s="459"/>
    </row>
    <row r="1987" spans="1:18" ht="24">
      <c r="A1987" s="493"/>
      <c r="B1987" s="387">
        <v>46176</v>
      </c>
      <c r="C1987" s="388">
        <v>46143</v>
      </c>
      <c r="D1987" s="484" t="s">
        <v>166</v>
      </c>
      <c r="E1987" s="484" t="s">
        <v>1210</v>
      </c>
      <c r="F1987" s="498">
        <v>2604.31</v>
      </c>
      <c r="G1987" s="486" t="s">
        <v>3569</v>
      </c>
      <c r="H1987" s="389" t="s">
        <v>166</v>
      </c>
      <c r="I1987" s="484" t="s">
        <v>1437</v>
      </c>
      <c r="J1987" s="487" t="s">
        <v>1438</v>
      </c>
      <c r="K1987" s="183"/>
      <c r="L1987" s="183"/>
      <c r="M1987" s="484" t="s">
        <v>708</v>
      </c>
      <c r="N1987" s="487">
        <v>536</v>
      </c>
      <c r="O1987" s="487" t="s">
        <v>2546</v>
      </c>
      <c r="P1987" s="484" t="s">
        <v>1555</v>
      </c>
      <c r="Q1987" s="458"/>
      <c r="R1987" s="459"/>
    </row>
    <row r="1988" spans="1:18" ht="24">
      <c r="A1988" s="493"/>
      <c r="B1988" s="387">
        <v>46176</v>
      </c>
      <c r="C1988" s="388">
        <v>46143</v>
      </c>
      <c r="D1988" s="484" t="s">
        <v>166</v>
      </c>
      <c r="E1988" s="484" t="s">
        <v>1210</v>
      </c>
      <c r="F1988" s="498">
        <v>792.7</v>
      </c>
      <c r="G1988" s="486" t="s">
        <v>3569</v>
      </c>
      <c r="H1988" s="389" t="s">
        <v>166</v>
      </c>
      <c r="I1988" s="484" t="s">
        <v>1440</v>
      </c>
      <c r="J1988" s="487" t="s">
        <v>1441</v>
      </c>
      <c r="K1988" s="183"/>
      <c r="L1988" s="183"/>
      <c r="M1988" s="484" t="s">
        <v>708</v>
      </c>
      <c r="N1988" s="487">
        <v>536</v>
      </c>
      <c r="O1988" s="487" t="s">
        <v>2546</v>
      </c>
      <c r="P1988" s="484" t="s">
        <v>1555</v>
      </c>
      <c r="Q1988" s="458"/>
      <c r="R1988" s="459"/>
    </row>
    <row r="1989" spans="1:18" ht="24">
      <c r="A1989" s="493"/>
      <c r="B1989" s="387">
        <v>46176</v>
      </c>
      <c r="C1989" s="388">
        <v>46143</v>
      </c>
      <c r="D1989" s="484" t="s">
        <v>166</v>
      </c>
      <c r="E1989" s="484" t="s">
        <v>1210</v>
      </c>
      <c r="F1989" s="498">
        <v>4179.7700000000004</v>
      </c>
      <c r="G1989" s="486" t="s">
        <v>3569</v>
      </c>
      <c r="H1989" s="389" t="s">
        <v>166</v>
      </c>
      <c r="I1989" s="484" t="s">
        <v>1446</v>
      </c>
      <c r="J1989" s="487" t="s">
        <v>1447</v>
      </c>
      <c r="K1989" s="183"/>
      <c r="L1989" s="183"/>
      <c r="M1989" s="484" t="s">
        <v>708</v>
      </c>
      <c r="N1989" s="487">
        <v>536</v>
      </c>
      <c r="O1989" s="487" t="s">
        <v>2546</v>
      </c>
      <c r="P1989" s="484" t="s">
        <v>1555</v>
      </c>
      <c r="Q1989" s="458"/>
      <c r="R1989" s="459"/>
    </row>
    <row r="1990" spans="1:18" ht="24">
      <c r="A1990" s="493"/>
      <c r="B1990" s="387">
        <v>46176</v>
      </c>
      <c r="C1990" s="388">
        <v>46143</v>
      </c>
      <c r="D1990" s="484" t="s">
        <v>166</v>
      </c>
      <c r="E1990" s="484" t="s">
        <v>1210</v>
      </c>
      <c r="F1990" s="498">
        <v>753.48</v>
      </c>
      <c r="G1990" s="486" t="s">
        <v>3569</v>
      </c>
      <c r="H1990" s="389" t="s">
        <v>166</v>
      </c>
      <c r="I1990" s="484" t="s">
        <v>1442</v>
      </c>
      <c r="J1990" s="487" t="s">
        <v>1443</v>
      </c>
      <c r="K1990" s="183"/>
      <c r="L1990" s="183"/>
      <c r="M1990" s="484" t="s">
        <v>708</v>
      </c>
      <c r="N1990" s="487">
        <v>536</v>
      </c>
      <c r="O1990" s="487" t="s">
        <v>2546</v>
      </c>
      <c r="P1990" s="484" t="s">
        <v>1555</v>
      </c>
      <c r="Q1990" s="458"/>
      <c r="R1990" s="459"/>
    </row>
    <row r="1991" spans="1:18" ht="24">
      <c r="A1991" s="493"/>
      <c r="B1991" s="387">
        <v>46176</v>
      </c>
      <c r="C1991" s="388">
        <v>46143</v>
      </c>
      <c r="D1991" s="484" t="s">
        <v>166</v>
      </c>
      <c r="E1991" s="484" t="s">
        <v>1210</v>
      </c>
      <c r="F1991" s="497">
        <v>1621</v>
      </c>
      <c r="G1991" s="486" t="s">
        <v>3570</v>
      </c>
      <c r="H1991" s="389" t="s">
        <v>166</v>
      </c>
      <c r="I1991" s="484" t="s">
        <v>744</v>
      </c>
      <c r="J1991" s="487" t="s">
        <v>1058</v>
      </c>
      <c r="K1991" s="183"/>
      <c r="L1991" s="183"/>
      <c r="M1991" s="484" t="s">
        <v>708</v>
      </c>
      <c r="N1991" s="487">
        <v>196</v>
      </c>
      <c r="O1991" s="487" t="s">
        <v>2546</v>
      </c>
      <c r="P1991" s="484" t="s">
        <v>1555</v>
      </c>
      <c r="Q1991" s="458"/>
      <c r="R1991" s="459"/>
    </row>
    <row r="1992" spans="1:18" ht="24">
      <c r="A1992" s="493"/>
      <c r="B1992" s="387">
        <v>46176</v>
      </c>
      <c r="C1992" s="388">
        <v>46143</v>
      </c>
      <c r="D1992" s="484" t="s">
        <v>166</v>
      </c>
      <c r="E1992" s="484" t="s">
        <v>4</v>
      </c>
      <c r="F1992" s="497">
        <v>12251.18</v>
      </c>
      <c r="G1992" s="486" t="s">
        <v>3571</v>
      </c>
      <c r="H1992" s="389" t="s">
        <v>166</v>
      </c>
      <c r="I1992" s="484" t="s">
        <v>647</v>
      </c>
      <c r="J1992" s="487" t="s">
        <v>648</v>
      </c>
      <c r="K1992" s="183"/>
      <c r="L1992" s="183"/>
      <c r="M1992" s="484" t="s">
        <v>718</v>
      </c>
      <c r="N1992" s="487">
        <v>1777</v>
      </c>
      <c r="O1992" s="487" t="s">
        <v>2546</v>
      </c>
      <c r="P1992" s="484" t="s">
        <v>1555</v>
      </c>
      <c r="Q1992" s="458"/>
      <c r="R1992" s="459"/>
    </row>
    <row r="1993" spans="1:18" ht="24">
      <c r="A1993" s="493"/>
      <c r="B1993" s="387">
        <v>46176</v>
      </c>
      <c r="C1993" s="388">
        <v>46143</v>
      </c>
      <c r="D1993" s="484" t="s">
        <v>166</v>
      </c>
      <c r="E1993" s="484" t="s">
        <v>4</v>
      </c>
      <c r="F1993" s="498">
        <v>105806.62</v>
      </c>
      <c r="G1993" s="486" t="s">
        <v>3572</v>
      </c>
      <c r="H1993" s="389" t="s">
        <v>166</v>
      </c>
      <c r="I1993" s="484" t="s">
        <v>647</v>
      </c>
      <c r="J1993" s="487" t="s">
        <v>648</v>
      </c>
      <c r="K1993" s="183"/>
      <c r="L1993" s="183"/>
      <c r="M1993" s="484" t="s">
        <v>718</v>
      </c>
      <c r="N1993" s="487">
        <v>1777</v>
      </c>
      <c r="O1993" s="487" t="s">
        <v>2546</v>
      </c>
      <c r="P1993" s="484" t="s">
        <v>1555</v>
      </c>
      <c r="Q1993" s="458"/>
      <c r="R1993" s="459"/>
    </row>
    <row r="1994" spans="1:18" ht="48">
      <c r="A1994" s="493"/>
      <c r="B1994" s="387">
        <v>46176</v>
      </c>
      <c r="C1994" s="388">
        <v>46143</v>
      </c>
      <c r="D1994" s="484" t="s">
        <v>166</v>
      </c>
      <c r="E1994" s="484" t="s">
        <v>1210</v>
      </c>
      <c r="F1994" s="497">
        <v>3280</v>
      </c>
      <c r="G1994" s="486" t="s">
        <v>3573</v>
      </c>
      <c r="H1994" s="389" t="s">
        <v>166</v>
      </c>
      <c r="I1994" s="484" t="s">
        <v>1056</v>
      </c>
      <c r="J1994" s="487" t="s">
        <v>1057</v>
      </c>
      <c r="K1994" s="183"/>
      <c r="L1994" s="183"/>
      <c r="M1994" s="484" t="s">
        <v>708</v>
      </c>
      <c r="N1994" s="487">
        <v>196</v>
      </c>
      <c r="O1994" s="487" t="s">
        <v>2546</v>
      </c>
      <c r="P1994" s="484" t="s">
        <v>1555</v>
      </c>
      <c r="Q1994" s="458"/>
      <c r="R1994" s="459"/>
    </row>
    <row r="1995" spans="1:18" ht="36">
      <c r="A1995" s="493"/>
      <c r="B1995" s="387">
        <v>46176</v>
      </c>
      <c r="C1995" s="388">
        <v>46143</v>
      </c>
      <c r="D1995" s="484" t="s">
        <v>166</v>
      </c>
      <c r="E1995" s="484" t="s">
        <v>2255</v>
      </c>
      <c r="F1995" s="498">
        <v>318.83999999999997</v>
      </c>
      <c r="G1995" s="486" t="s">
        <v>3574</v>
      </c>
      <c r="H1995" s="389" t="s">
        <v>166</v>
      </c>
      <c r="I1995" s="484" t="s">
        <v>3375</v>
      </c>
      <c r="J1995" s="487" t="s">
        <v>3376</v>
      </c>
      <c r="K1995" s="183"/>
      <c r="L1995" s="183"/>
      <c r="M1995" s="484" t="s">
        <v>707</v>
      </c>
      <c r="N1995" s="487">
        <v>52026</v>
      </c>
      <c r="O1995" s="487" t="s">
        <v>2546</v>
      </c>
      <c r="P1995" s="484" t="s">
        <v>1555</v>
      </c>
      <c r="Q1995" s="458"/>
      <c r="R1995" s="459"/>
    </row>
    <row r="1996" spans="1:18" ht="24">
      <c r="A1996" s="493"/>
      <c r="B1996" s="387">
        <v>46176</v>
      </c>
      <c r="C1996" s="388">
        <v>46174</v>
      </c>
      <c r="D1996" s="484" t="s">
        <v>338</v>
      </c>
      <c r="E1996" s="484" t="s">
        <v>338</v>
      </c>
      <c r="F1996" s="498">
        <v>1842751</v>
      </c>
      <c r="G1996" s="486" t="s">
        <v>3575</v>
      </c>
      <c r="H1996" s="389" t="s">
        <v>280</v>
      </c>
      <c r="I1996" s="484" t="s">
        <v>3377</v>
      </c>
      <c r="J1996" s="487" t="s">
        <v>3378</v>
      </c>
      <c r="K1996" s="183"/>
      <c r="L1996" s="183"/>
      <c r="M1996" s="484" t="s">
        <v>707</v>
      </c>
      <c r="N1996" s="487">
        <v>62026</v>
      </c>
      <c r="O1996" s="487" t="s">
        <v>3485</v>
      </c>
      <c r="P1996" s="484" t="s">
        <v>1555</v>
      </c>
      <c r="Q1996" s="458"/>
      <c r="R1996" s="459"/>
    </row>
    <row r="1997" spans="1:18" ht="24">
      <c r="A1997" s="493"/>
      <c r="B1997" s="387">
        <v>46176</v>
      </c>
      <c r="C1997" s="388">
        <v>46143</v>
      </c>
      <c r="D1997" s="484" t="s">
        <v>166</v>
      </c>
      <c r="E1997" s="484" t="s">
        <v>1210</v>
      </c>
      <c r="F1997" s="497">
        <v>1062402</v>
      </c>
      <c r="G1997" s="486" t="s">
        <v>3576</v>
      </c>
      <c r="H1997" s="389" t="s">
        <v>166</v>
      </c>
      <c r="I1997" s="484" t="s">
        <v>744</v>
      </c>
      <c r="J1997" s="487" t="s">
        <v>1058</v>
      </c>
      <c r="K1997" s="183"/>
      <c r="L1997" s="183"/>
      <c r="M1997" s="484" t="s">
        <v>708</v>
      </c>
      <c r="N1997" s="487">
        <v>196</v>
      </c>
      <c r="O1997" s="487" t="s">
        <v>2546</v>
      </c>
      <c r="P1997" s="484" t="s">
        <v>1555</v>
      </c>
      <c r="Q1997" s="458"/>
      <c r="R1997" s="459"/>
    </row>
    <row r="1998" spans="1:18" ht="36">
      <c r="A1998" s="493"/>
      <c r="B1998" s="387">
        <v>46178</v>
      </c>
      <c r="C1998" s="388">
        <v>46143</v>
      </c>
      <c r="D1998" s="495" t="s">
        <v>248</v>
      </c>
      <c r="E1998" s="484" t="s">
        <v>597</v>
      </c>
      <c r="F1998" s="498">
        <v>2774.7</v>
      </c>
      <c r="G1998" s="486" t="s">
        <v>3577</v>
      </c>
      <c r="H1998" s="462" t="s">
        <v>738</v>
      </c>
      <c r="I1998" s="484" t="s">
        <v>3379</v>
      </c>
      <c r="J1998" s="487" t="s">
        <v>3380</v>
      </c>
      <c r="K1998" s="183"/>
      <c r="L1998" s="183"/>
      <c r="M1998" s="484" t="s">
        <v>704</v>
      </c>
      <c r="N1998" s="487">
        <v>3948</v>
      </c>
      <c r="O1998" s="487" t="s">
        <v>2529</v>
      </c>
      <c r="P1998" s="484" t="s">
        <v>1553</v>
      </c>
      <c r="Q1998" s="458"/>
      <c r="R1998" s="459"/>
    </row>
    <row r="1999" spans="1:18" ht="36">
      <c r="A1999" s="493"/>
      <c r="B1999" s="387">
        <v>46178</v>
      </c>
      <c r="C1999" s="388">
        <v>46143</v>
      </c>
      <c r="D1999" s="495" t="s">
        <v>248</v>
      </c>
      <c r="E1999" s="484" t="s">
        <v>597</v>
      </c>
      <c r="F1999" s="498">
        <v>1313.3</v>
      </c>
      <c r="G1999" s="486" t="s">
        <v>3578</v>
      </c>
      <c r="H1999" s="462" t="s">
        <v>738</v>
      </c>
      <c r="I1999" s="484" t="s">
        <v>698</v>
      </c>
      <c r="J1999" s="487" t="s">
        <v>699</v>
      </c>
      <c r="K1999" s="183"/>
      <c r="L1999" s="183"/>
      <c r="M1999" s="484" t="s">
        <v>708</v>
      </c>
      <c r="N1999" s="487">
        <v>800200</v>
      </c>
      <c r="O1999" s="487" t="s">
        <v>2527</v>
      </c>
      <c r="P1999" s="484" t="s">
        <v>1553</v>
      </c>
      <c r="Q1999" s="458"/>
      <c r="R1999" s="459"/>
    </row>
    <row r="2000" spans="1:18" ht="84">
      <c r="A2000" s="493"/>
      <c r="B2000" s="387">
        <v>46178</v>
      </c>
      <c r="C2000" s="388">
        <v>46143</v>
      </c>
      <c r="D2000" s="495" t="s">
        <v>248</v>
      </c>
      <c r="E2000" s="484" t="s">
        <v>597</v>
      </c>
      <c r="F2000" s="498">
        <v>1297.78</v>
      </c>
      <c r="G2000" s="486" t="s">
        <v>3579</v>
      </c>
      <c r="H2000" s="462" t="s">
        <v>278</v>
      </c>
      <c r="I2000" s="484" t="s">
        <v>1419</v>
      </c>
      <c r="J2000" s="487" t="s">
        <v>1420</v>
      </c>
      <c r="K2000" s="183"/>
      <c r="L2000" s="183"/>
      <c r="M2000" s="484" t="s">
        <v>704</v>
      </c>
      <c r="N2000" s="487">
        <v>226023</v>
      </c>
      <c r="O2000" s="487" t="s">
        <v>2530</v>
      </c>
      <c r="P2000" s="484" t="s">
        <v>1553</v>
      </c>
      <c r="Q2000" s="458"/>
      <c r="R2000" s="459"/>
    </row>
    <row r="2001" spans="1:18" ht="36">
      <c r="A2001" s="493"/>
      <c r="B2001" s="387">
        <v>46178</v>
      </c>
      <c r="C2001" s="388">
        <v>46143</v>
      </c>
      <c r="D2001" s="484" t="s">
        <v>166</v>
      </c>
      <c r="E2001" s="484" t="s">
        <v>581</v>
      </c>
      <c r="F2001" s="498">
        <v>681.59</v>
      </c>
      <c r="G2001" s="486" t="s">
        <v>3580</v>
      </c>
      <c r="H2001" s="389" t="s">
        <v>166</v>
      </c>
      <c r="I2001" s="484" t="s">
        <v>611</v>
      </c>
      <c r="J2001" s="487" t="s">
        <v>612</v>
      </c>
      <c r="K2001" s="183"/>
      <c r="L2001" s="183"/>
      <c r="M2001" s="484" t="s">
        <v>704</v>
      </c>
      <c r="N2001" s="487">
        <v>18064</v>
      </c>
      <c r="O2001" s="487" t="s">
        <v>2533</v>
      </c>
      <c r="P2001" s="484" t="s">
        <v>1553</v>
      </c>
      <c r="Q2001" s="458"/>
      <c r="R2001" s="459"/>
    </row>
    <row r="2002" spans="1:18" ht="36">
      <c r="A2002" s="493"/>
      <c r="B2002" s="387">
        <v>46178</v>
      </c>
      <c r="C2002" s="388">
        <v>46143</v>
      </c>
      <c r="D2002" s="484" t="s">
        <v>166</v>
      </c>
      <c r="E2002" s="484" t="s">
        <v>581</v>
      </c>
      <c r="F2002" s="498">
        <v>596.32000000000005</v>
      </c>
      <c r="G2002" s="486" t="s">
        <v>3581</v>
      </c>
      <c r="H2002" s="389" t="s">
        <v>166</v>
      </c>
      <c r="I2002" s="484" t="s">
        <v>1452</v>
      </c>
      <c r="J2002" s="487" t="s">
        <v>1453</v>
      </c>
      <c r="K2002" s="183"/>
      <c r="L2002" s="183"/>
      <c r="M2002" s="484" t="s">
        <v>704</v>
      </c>
      <c r="N2002" s="487">
        <v>7809</v>
      </c>
      <c r="O2002" s="487" t="s">
        <v>2533</v>
      </c>
      <c r="P2002" s="484" t="s">
        <v>1553</v>
      </c>
      <c r="Q2002" s="458"/>
      <c r="R2002" s="459"/>
    </row>
    <row r="2003" spans="1:18" ht="36">
      <c r="A2003" s="493"/>
      <c r="B2003" s="387">
        <v>46178</v>
      </c>
      <c r="C2003" s="388">
        <v>46143</v>
      </c>
      <c r="D2003" s="39" t="s">
        <v>353</v>
      </c>
      <c r="E2003" s="39" t="s">
        <v>153</v>
      </c>
      <c r="F2003" s="498">
        <v>21317.83</v>
      </c>
      <c r="G2003" s="486" t="s">
        <v>3582</v>
      </c>
      <c r="H2003" s="389" t="s">
        <v>280</v>
      </c>
      <c r="I2003" s="484" t="s">
        <v>3381</v>
      </c>
      <c r="J2003" s="487" t="s">
        <v>683</v>
      </c>
      <c r="K2003" s="183"/>
      <c r="L2003" s="183"/>
      <c r="M2003" s="484" t="s">
        <v>726</v>
      </c>
      <c r="N2003" s="487">
        <v>30052026</v>
      </c>
      <c r="O2003" s="487" t="s">
        <v>3488</v>
      </c>
      <c r="P2003" s="484" t="s">
        <v>1553</v>
      </c>
      <c r="Q2003" s="458"/>
      <c r="R2003" s="459"/>
    </row>
    <row r="2004" spans="1:18" ht="36">
      <c r="A2004" s="493"/>
      <c r="B2004" s="387">
        <v>46178</v>
      </c>
      <c r="C2004" s="388">
        <v>46174</v>
      </c>
      <c r="D2004" s="39" t="s">
        <v>353</v>
      </c>
      <c r="E2004" s="39" t="s">
        <v>153</v>
      </c>
      <c r="F2004" s="498">
        <v>10547.82</v>
      </c>
      <c r="G2004" s="486" t="s">
        <v>821</v>
      </c>
      <c r="H2004" s="389" t="s">
        <v>280</v>
      </c>
      <c r="I2004" s="484" t="s">
        <v>3381</v>
      </c>
      <c r="J2004" s="487" t="s">
        <v>683</v>
      </c>
      <c r="K2004" s="183"/>
      <c r="L2004" s="183"/>
      <c r="M2004" s="484" t="s">
        <v>706</v>
      </c>
      <c r="N2004" s="487">
        <v>2057887485</v>
      </c>
      <c r="O2004" s="487" t="s">
        <v>3489</v>
      </c>
      <c r="P2004" s="484" t="s">
        <v>1553</v>
      </c>
      <c r="Q2004" s="458"/>
      <c r="R2004" s="459"/>
    </row>
    <row r="2005" spans="1:18" ht="36">
      <c r="A2005" s="493"/>
      <c r="B2005" s="387">
        <v>46178</v>
      </c>
      <c r="C2005" s="388">
        <v>46174</v>
      </c>
      <c r="D2005" s="39" t="s">
        <v>353</v>
      </c>
      <c r="E2005" s="39" t="s">
        <v>334</v>
      </c>
      <c r="F2005" s="498">
        <v>300</v>
      </c>
      <c r="G2005" s="486" t="s">
        <v>3583</v>
      </c>
      <c r="H2005" s="389" t="s">
        <v>280</v>
      </c>
      <c r="I2005" s="484" t="s">
        <v>3382</v>
      </c>
      <c r="J2005" s="487" t="s">
        <v>3383</v>
      </c>
      <c r="K2005" s="183"/>
      <c r="L2005" s="183"/>
      <c r="M2005" s="484" t="s">
        <v>708</v>
      </c>
      <c r="N2005" s="487">
        <v>62026</v>
      </c>
      <c r="O2005" s="487" t="s">
        <v>3489</v>
      </c>
      <c r="P2005" s="484" t="s">
        <v>1553</v>
      </c>
      <c r="Q2005" s="458"/>
      <c r="R2005" s="459"/>
    </row>
    <row r="2006" spans="1:18" ht="36">
      <c r="A2006" s="493"/>
      <c r="B2006" s="387">
        <v>46181</v>
      </c>
      <c r="C2006" s="388">
        <v>46143</v>
      </c>
      <c r="D2006" s="495" t="s">
        <v>248</v>
      </c>
      <c r="E2006" s="484" t="s">
        <v>593</v>
      </c>
      <c r="F2006" s="498">
        <v>540</v>
      </c>
      <c r="G2006" s="486" t="s">
        <v>2710</v>
      </c>
      <c r="H2006" s="389" t="s">
        <v>736</v>
      </c>
      <c r="I2006" s="484" t="s">
        <v>635</v>
      </c>
      <c r="J2006" s="487" t="s">
        <v>636</v>
      </c>
      <c r="K2006" s="183"/>
      <c r="L2006" s="183"/>
      <c r="M2006" s="484" t="s">
        <v>712</v>
      </c>
      <c r="N2006" s="487">
        <v>115</v>
      </c>
      <c r="O2006" s="487" t="s">
        <v>2526</v>
      </c>
      <c r="P2006" s="484" t="s">
        <v>1554</v>
      </c>
      <c r="Q2006" s="458"/>
      <c r="R2006" s="459"/>
    </row>
    <row r="2007" spans="1:18" ht="72">
      <c r="A2007" s="493"/>
      <c r="B2007" s="387">
        <v>46181</v>
      </c>
      <c r="C2007" s="388">
        <v>46143</v>
      </c>
      <c r="D2007" s="495" t="s">
        <v>248</v>
      </c>
      <c r="E2007" s="484" t="s">
        <v>600</v>
      </c>
      <c r="F2007" s="498">
        <v>82.32</v>
      </c>
      <c r="G2007" s="486" t="s">
        <v>1351</v>
      </c>
      <c r="H2007" s="389" t="s">
        <v>737</v>
      </c>
      <c r="I2007" s="484" t="s">
        <v>635</v>
      </c>
      <c r="J2007" s="487" t="s">
        <v>636</v>
      </c>
      <c r="K2007" s="183"/>
      <c r="L2007" s="183"/>
      <c r="M2007" s="484" t="s">
        <v>712</v>
      </c>
      <c r="N2007" s="487">
        <v>48</v>
      </c>
      <c r="O2007" s="487" t="s">
        <v>2118</v>
      </c>
      <c r="P2007" s="484" t="s">
        <v>1553</v>
      </c>
      <c r="Q2007" s="458"/>
      <c r="R2007" s="459"/>
    </row>
    <row r="2008" spans="1:18" ht="36">
      <c r="A2008" s="493"/>
      <c r="B2008" s="387">
        <v>46181</v>
      </c>
      <c r="C2008" s="388">
        <v>46143</v>
      </c>
      <c r="D2008" s="495" t="s">
        <v>248</v>
      </c>
      <c r="E2008" s="60" t="s">
        <v>171</v>
      </c>
      <c r="F2008" s="498">
        <v>15.38</v>
      </c>
      <c r="G2008" s="486" t="s">
        <v>2712</v>
      </c>
      <c r="H2008" s="389" t="s">
        <v>278</v>
      </c>
      <c r="I2008" s="484" t="s">
        <v>635</v>
      </c>
      <c r="J2008" s="487" t="s">
        <v>636</v>
      </c>
      <c r="K2008" s="183"/>
      <c r="L2008" s="183"/>
      <c r="M2008" s="484" t="s">
        <v>712</v>
      </c>
      <c r="N2008" s="487">
        <v>1040</v>
      </c>
      <c r="O2008" s="487" t="s">
        <v>2546</v>
      </c>
      <c r="P2008" s="484" t="s">
        <v>1553</v>
      </c>
      <c r="Q2008" s="458"/>
      <c r="R2008" s="459"/>
    </row>
    <row r="2009" spans="1:18" ht="96">
      <c r="A2009" s="493"/>
      <c r="B2009" s="387">
        <v>46181</v>
      </c>
      <c r="C2009" s="388">
        <v>46143</v>
      </c>
      <c r="D2009" s="495" t="s">
        <v>248</v>
      </c>
      <c r="E2009" s="484" t="s">
        <v>595</v>
      </c>
      <c r="F2009" s="498">
        <v>114.9</v>
      </c>
      <c r="G2009" s="486" t="s">
        <v>2715</v>
      </c>
      <c r="H2009" s="462" t="s">
        <v>278</v>
      </c>
      <c r="I2009" s="484" t="s">
        <v>635</v>
      </c>
      <c r="J2009" s="487" t="s">
        <v>636</v>
      </c>
      <c r="K2009" s="183"/>
      <c r="L2009" s="183"/>
      <c r="M2009" s="484" t="s">
        <v>712</v>
      </c>
      <c r="N2009" s="487">
        <v>1197</v>
      </c>
      <c r="O2009" s="487" t="s">
        <v>2118</v>
      </c>
      <c r="P2009" s="484" t="s">
        <v>1554</v>
      </c>
      <c r="Q2009" s="458"/>
      <c r="R2009" s="459"/>
    </row>
    <row r="2010" spans="1:18" s="439" customFormat="1" ht="24">
      <c r="A2010" s="502"/>
      <c r="B2010" s="503">
        <v>46181</v>
      </c>
      <c r="C2010" s="504">
        <v>46174</v>
      </c>
      <c r="D2010" s="495" t="s">
        <v>248</v>
      </c>
      <c r="E2010" s="506" t="s">
        <v>1552</v>
      </c>
      <c r="F2010" s="512">
        <v>1175.04</v>
      </c>
      <c r="G2010" s="507"/>
      <c r="H2010" s="389" t="s">
        <v>736</v>
      </c>
      <c r="I2010" s="506"/>
      <c r="J2010" s="509"/>
      <c r="K2010" s="510"/>
      <c r="L2010" s="510"/>
      <c r="M2010" s="506"/>
      <c r="N2010" s="509"/>
      <c r="O2010" s="509"/>
      <c r="P2010" s="506"/>
      <c r="Q2010" s="505"/>
      <c r="R2010" s="511"/>
    </row>
    <row r="2011" spans="1:18" s="439" customFormat="1" ht="24">
      <c r="A2011" s="502"/>
      <c r="B2011" s="503">
        <v>46181</v>
      </c>
      <c r="C2011" s="504">
        <v>46174</v>
      </c>
      <c r="D2011" s="495" t="s">
        <v>248</v>
      </c>
      <c r="E2011" s="506" t="s">
        <v>1552</v>
      </c>
      <c r="F2011" s="512">
        <v>33572.5</v>
      </c>
      <c r="G2011" s="507"/>
      <c r="H2011" s="389" t="s">
        <v>736</v>
      </c>
      <c r="I2011" s="506"/>
      <c r="J2011" s="509"/>
      <c r="K2011" s="510"/>
      <c r="L2011" s="510"/>
      <c r="M2011" s="506"/>
      <c r="N2011" s="509"/>
      <c r="O2011" s="509"/>
      <c r="P2011" s="506"/>
      <c r="Q2011" s="505"/>
      <c r="R2011" s="511"/>
    </row>
    <row r="2012" spans="1:18" s="439" customFormat="1" ht="24">
      <c r="A2012" s="502"/>
      <c r="B2012" s="503">
        <v>46181</v>
      </c>
      <c r="C2012" s="504">
        <v>46174</v>
      </c>
      <c r="D2012" s="495" t="s">
        <v>248</v>
      </c>
      <c r="E2012" s="506" t="s">
        <v>1552</v>
      </c>
      <c r="F2012" s="512">
        <v>550</v>
      </c>
      <c r="G2012" s="507"/>
      <c r="H2012" s="389" t="s">
        <v>736</v>
      </c>
      <c r="I2012" s="506"/>
      <c r="J2012" s="509"/>
      <c r="K2012" s="510"/>
      <c r="L2012" s="510"/>
      <c r="M2012" s="506"/>
      <c r="N2012" s="509"/>
      <c r="O2012" s="509"/>
      <c r="P2012" s="506"/>
      <c r="Q2012" s="505"/>
      <c r="R2012" s="511"/>
    </row>
    <row r="2013" spans="1:18" s="439" customFormat="1" ht="24">
      <c r="A2013" s="502"/>
      <c r="B2013" s="503">
        <v>46181</v>
      </c>
      <c r="C2013" s="504">
        <v>46174</v>
      </c>
      <c r="D2013" s="495" t="s">
        <v>248</v>
      </c>
      <c r="E2013" s="506" t="s">
        <v>1552</v>
      </c>
      <c r="F2013" s="512">
        <v>5924.56</v>
      </c>
      <c r="G2013" s="507"/>
      <c r="H2013" s="389" t="s">
        <v>736</v>
      </c>
      <c r="I2013" s="506"/>
      <c r="J2013" s="509"/>
      <c r="K2013" s="510"/>
      <c r="L2013" s="510"/>
      <c r="M2013" s="506"/>
      <c r="N2013" s="509"/>
      <c r="O2013" s="509"/>
      <c r="P2013" s="506"/>
      <c r="Q2013" s="505"/>
      <c r="R2013" s="511"/>
    </row>
    <row r="2014" spans="1:18" s="439" customFormat="1" ht="24">
      <c r="A2014" s="502"/>
      <c r="B2014" s="503">
        <v>46181</v>
      </c>
      <c r="C2014" s="504">
        <v>46174</v>
      </c>
      <c r="D2014" s="495" t="s">
        <v>248</v>
      </c>
      <c r="E2014" s="506" t="s">
        <v>1552</v>
      </c>
      <c r="F2014" s="512">
        <v>628.72</v>
      </c>
      <c r="G2014" s="507"/>
      <c r="H2014" s="389" t="s">
        <v>736</v>
      </c>
      <c r="I2014" s="506"/>
      <c r="J2014" s="509"/>
      <c r="K2014" s="510"/>
      <c r="L2014" s="510"/>
      <c r="M2014" s="506"/>
      <c r="N2014" s="509"/>
      <c r="O2014" s="509"/>
      <c r="P2014" s="506"/>
      <c r="Q2014" s="505"/>
      <c r="R2014" s="511"/>
    </row>
    <row r="2015" spans="1:18" s="439" customFormat="1" ht="24">
      <c r="A2015" s="502"/>
      <c r="B2015" s="503">
        <v>46181</v>
      </c>
      <c r="C2015" s="504">
        <v>46174</v>
      </c>
      <c r="D2015" s="495" t="s">
        <v>248</v>
      </c>
      <c r="E2015" s="506" t="s">
        <v>1552</v>
      </c>
      <c r="F2015" s="512">
        <v>1007.18</v>
      </c>
      <c r="G2015" s="507"/>
      <c r="H2015" s="389" t="s">
        <v>736</v>
      </c>
      <c r="I2015" s="506"/>
      <c r="J2015" s="509"/>
      <c r="K2015" s="510"/>
      <c r="L2015" s="510"/>
      <c r="M2015" s="506"/>
      <c r="N2015" s="509"/>
      <c r="O2015" s="509"/>
      <c r="P2015" s="506"/>
      <c r="Q2015" s="505"/>
      <c r="R2015" s="511"/>
    </row>
    <row r="2016" spans="1:18" s="439" customFormat="1" ht="24">
      <c r="A2016" s="502"/>
      <c r="B2016" s="503">
        <v>46181</v>
      </c>
      <c r="C2016" s="504">
        <v>46174</v>
      </c>
      <c r="D2016" s="495" t="s">
        <v>248</v>
      </c>
      <c r="E2016" s="506" t="s">
        <v>1552</v>
      </c>
      <c r="F2016" s="512">
        <v>2895.93</v>
      </c>
      <c r="G2016" s="507"/>
      <c r="H2016" s="389" t="s">
        <v>736</v>
      </c>
      <c r="I2016" s="506"/>
      <c r="J2016" s="509"/>
      <c r="K2016" s="510"/>
      <c r="L2016" s="510"/>
      <c r="M2016" s="506"/>
      <c r="N2016" s="509"/>
      <c r="O2016" s="509"/>
      <c r="P2016" s="506"/>
      <c r="Q2016" s="505"/>
      <c r="R2016" s="511"/>
    </row>
    <row r="2017" spans="1:18" ht="36">
      <c r="A2017" s="493"/>
      <c r="B2017" s="387">
        <v>46181</v>
      </c>
      <c r="C2017" s="388">
        <v>46143</v>
      </c>
      <c r="D2017" s="495" t="s">
        <v>248</v>
      </c>
      <c r="E2017" s="484" t="s">
        <v>596</v>
      </c>
      <c r="F2017" s="498">
        <v>295.2</v>
      </c>
      <c r="G2017" s="486" t="s">
        <v>3519</v>
      </c>
      <c r="H2017" s="389" t="s">
        <v>737</v>
      </c>
      <c r="I2017" s="484" t="s">
        <v>635</v>
      </c>
      <c r="J2017" s="487" t="s">
        <v>636</v>
      </c>
      <c r="K2017" s="183"/>
      <c r="L2017" s="183"/>
      <c r="M2017" s="484" t="s">
        <v>712</v>
      </c>
      <c r="N2017" s="487">
        <v>21</v>
      </c>
      <c r="O2017" s="487" t="s">
        <v>2118</v>
      </c>
      <c r="P2017" s="484" t="s">
        <v>1554</v>
      </c>
      <c r="Q2017" s="458"/>
      <c r="R2017" s="459"/>
    </row>
    <row r="2018" spans="1:18" ht="36">
      <c r="A2018" s="493"/>
      <c r="B2018" s="387">
        <v>46181</v>
      </c>
      <c r="C2018" s="388">
        <v>46143</v>
      </c>
      <c r="D2018" s="495" t="s">
        <v>248</v>
      </c>
      <c r="E2018" s="60" t="s">
        <v>171</v>
      </c>
      <c r="F2018" s="498">
        <v>37.36</v>
      </c>
      <c r="G2018" s="486" t="s">
        <v>2717</v>
      </c>
      <c r="H2018" s="389" t="s">
        <v>278</v>
      </c>
      <c r="I2018" s="484" t="s">
        <v>635</v>
      </c>
      <c r="J2018" s="487" t="s">
        <v>636</v>
      </c>
      <c r="K2018" s="183"/>
      <c r="L2018" s="183"/>
      <c r="M2018" s="484" t="s">
        <v>712</v>
      </c>
      <c r="N2018" s="487">
        <v>43</v>
      </c>
      <c r="O2018" s="487" t="s">
        <v>2118</v>
      </c>
      <c r="P2018" s="484" t="s">
        <v>1554</v>
      </c>
      <c r="Q2018" s="458"/>
      <c r="R2018" s="459"/>
    </row>
    <row r="2019" spans="1:18" ht="36">
      <c r="A2019" s="493"/>
      <c r="B2019" s="387">
        <v>46181</v>
      </c>
      <c r="C2019" s="388">
        <v>46143</v>
      </c>
      <c r="D2019" s="495" t="s">
        <v>248</v>
      </c>
      <c r="E2019" s="60" t="s">
        <v>171</v>
      </c>
      <c r="F2019" s="498">
        <v>212.08</v>
      </c>
      <c r="G2019" s="486" t="s">
        <v>2718</v>
      </c>
      <c r="H2019" s="389" t="s">
        <v>278</v>
      </c>
      <c r="I2019" s="484" t="s">
        <v>635</v>
      </c>
      <c r="J2019" s="487" t="s">
        <v>636</v>
      </c>
      <c r="K2019" s="183"/>
      <c r="L2019" s="183"/>
      <c r="M2019" s="484" t="s">
        <v>712</v>
      </c>
      <c r="N2019" s="487">
        <v>42</v>
      </c>
      <c r="O2019" s="487" t="s">
        <v>2118</v>
      </c>
      <c r="P2019" s="484" t="s">
        <v>1554</v>
      </c>
      <c r="Q2019" s="458"/>
      <c r="R2019" s="459"/>
    </row>
    <row r="2020" spans="1:18" ht="36">
      <c r="A2020" s="493"/>
      <c r="B2020" s="387">
        <v>46181</v>
      </c>
      <c r="C2020" s="388">
        <v>46143</v>
      </c>
      <c r="D2020" s="484" t="s">
        <v>166</v>
      </c>
      <c r="E2020" s="484" t="s">
        <v>584</v>
      </c>
      <c r="F2020" s="498">
        <v>0.14000000000000001</v>
      </c>
      <c r="G2020" s="486" t="s">
        <v>3584</v>
      </c>
      <c r="H2020" s="389" t="s">
        <v>166</v>
      </c>
      <c r="I2020" s="484" t="s">
        <v>635</v>
      </c>
      <c r="J2020" s="487" t="s">
        <v>636</v>
      </c>
      <c r="K2020" s="183"/>
      <c r="L2020" s="183"/>
      <c r="M2020" s="484" t="s">
        <v>712</v>
      </c>
      <c r="N2020" s="487">
        <v>146036</v>
      </c>
      <c r="O2020" s="487" t="s">
        <v>2546</v>
      </c>
      <c r="P2020" s="484" t="s">
        <v>1555</v>
      </c>
      <c r="Q2020" s="458"/>
      <c r="R2020" s="459"/>
    </row>
    <row r="2021" spans="1:18" ht="36">
      <c r="A2021" s="493"/>
      <c r="B2021" s="387">
        <v>46181</v>
      </c>
      <c r="C2021" s="388">
        <v>46143</v>
      </c>
      <c r="D2021" s="495" t="s">
        <v>248</v>
      </c>
      <c r="E2021" s="484" t="s">
        <v>1551</v>
      </c>
      <c r="F2021" s="498">
        <v>23.67</v>
      </c>
      <c r="G2021" s="486" t="s">
        <v>2768</v>
      </c>
      <c r="H2021" s="389" t="s">
        <v>737</v>
      </c>
      <c r="I2021" s="484" t="s">
        <v>635</v>
      </c>
      <c r="J2021" s="487" t="s">
        <v>636</v>
      </c>
      <c r="K2021" s="183"/>
      <c r="L2021" s="183"/>
      <c r="M2021" s="484" t="s">
        <v>712</v>
      </c>
      <c r="N2021" s="487">
        <v>28</v>
      </c>
      <c r="O2021" s="487" t="s">
        <v>2528</v>
      </c>
      <c r="P2021" s="484" t="s">
        <v>1554</v>
      </c>
      <c r="Q2021" s="458"/>
      <c r="R2021" s="459"/>
    </row>
    <row r="2022" spans="1:18" ht="36">
      <c r="A2022" s="493"/>
      <c r="B2022" s="387">
        <v>46181</v>
      </c>
      <c r="C2022" s="388">
        <v>46143</v>
      </c>
      <c r="D2022" s="495" t="s">
        <v>248</v>
      </c>
      <c r="E2022" s="60" t="s">
        <v>455</v>
      </c>
      <c r="F2022" s="498">
        <v>2994.8</v>
      </c>
      <c r="G2022" s="486" t="s">
        <v>2917</v>
      </c>
      <c r="H2022" s="389" t="s">
        <v>738</v>
      </c>
      <c r="I2022" s="484" t="s">
        <v>635</v>
      </c>
      <c r="J2022" s="487" t="s">
        <v>636</v>
      </c>
      <c r="K2022" s="183"/>
      <c r="L2022" s="183"/>
      <c r="M2022" s="484" t="s">
        <v>712</v>
      </c>
      <c r="N2022" s="487">
        <v>326</v>
      </c>
      <c r="O2022" s="487" t="s">
        <v>2529</v>
      </c>
      <c r="P2022" s="484" t="s">
        <v>1554</v>
      </c>
      <c r="Q2022" s="458"/>
      <c r="R2022" s="459"/>
    </row>
    <row r="2023" spans="1:18" ht="48">
      <c r="A2023" s="493"/>
      <c r="B2023" s="387">
        <v>46181</v>
      </c>
      <c r="C2023" s="388">
        <v>46143</v>
      </c>
      <c r="D2023" s="495" t="s">
        <v>248</v>
      </c>
      <c r="E2023" s="484" t="s">
        <v>1550</v>
      </c>
      <c r="F2023" s="498">
        <v>51.98</v>
      </c>
      <c r="G2023" s="486" t="s">
        <v>2771</v>
      </c>
      <c r="H2023" s="389" t="s">
        <v>736</v>
      </c>
      <c r="I2023" s="484" t="s">
        <v>635</v>
      </c>
      <c r="J2023" s="487" t="s">
        <v>636</v>
      </c>
      <c r="K2023" s="183"/>
      <c r="L2023" s="183"/>
      <c r="M2023" s="484" t="s">
        <v>3510</v>
      </c>
      <c r="N2023" s="487">
        <v>5061</v>
      </c>
      <c r="O2023" s="487" t="s">
        <v>2118</v>
      </c>
      <c r="P2023" s="484" t="s">
        <v>1554</v>
      </c>
      <c r="Q2023" s="458"/>
      <c r="R2023" s="459"/>
    </row>
    <row r="2024" spans="1:18" ht="48">
      <c r="A2024" s="493"/>
      <c r="B2024" s="387">
        <v>46181</v>
      </c>
      <c r="C2024" s="388">
        <v>46143</v>
      </c>
      <c r="D2024" s="495" t="s">
        <v>248</v>
      </c>
      <c r="E2024" s="484" t="s">
        <v>1550</v>
      </c>
      <c r="F2024" s="498">
        <v>51.98</v>
      </c>
      <c r="G2024" s="486" t="s">
        <v>2771</v>
      </c>
      <c r="H2024" s="389" t="s">
        <v>736</v>
      </c>
      <c r="I2024" s="484" t="s">
        <v>635</v>
      </c>
      <c r="J2024" s="487" t="s">
        <v>636</v>
      </c>
      <c r="K2024" s="183"/>
      <c r="L2024" s="183"/>
      <c r="M2024" s="484" t="s">
        <v>712</v>
      </c>
      <c r="N2024" s="487">
        <v>5060</v>
      </c>
      <c r="O2024" s="487" t="s">
        <v>2527</v>
      </c>
      <c r="P2024" s="484" t="s">
        <v>1554</v>
      </c>
      <c r="Q2024" s="458"/>
      <c r="R2024" s="459"/>
    </row>
    <row r="2025" spans="1:18" ht="36">
      <c r="A2025" s="493"/>
      <c r="B2025" s="387">
        <v>46181</v>
      </c>
      <c r="C2025" s="388">
        <v>46143</v>
      </c>
      <c r="D2025" s="495" t="s">
        <v>248</v>
      </c>
      <c r="E2025" s="484" t="s">
        <v>604</v>
      </c>
      <c r="F2025" s="498">
        <v>410.44</v>
      </c>
      <c r="G2025" s="486" t="s">
        <v>2773</v>
      </c>
      <c r="H2025" s="389" t="s">
        <v>1029</v>
      </c>
      <c r="I2025" s="484" t="s">
        <v>635</v>
      </c>
      <c r="J2025" s="487" t="s">
        <v>636</v>
      </c>
      <c r="K2025" s="183"/>
      <c r="L2025" s="183"/>
      <c r="M2025" s="484" t="s">
        <v>712</v>
      </c>
      <c r="N2025" s="487">
        <v>2322844</v>
      </c>
      <c r="O2025" s="487" t="s">
        <v>2529</v>
      </c>
      <c r="P2025" s="484" t="s">
        <v>1554</v>
      </c>
      <c r="Q2025" s="458"/>
      <c r="R2025" s="459"/>
    </row>
    <row r="2026" spans="1:18" ht="36">
      <c r="A2026" s="493"/>
      <c r="B2026" s="387">
        <v>46181</v>
      </c>
      <c r="C2026" s="388">
        <v>46143</v>
      </c>
      <c r="D2026" s="495" t="s">
        <v>248</v>
      </c>
      <c r="E2026" s="484" t="s">
        <v>1550</v>
      </c>
      <c r="F2026" s="498">
        <v>44.73</v>
      </c>
      <c r="G2026" s="486" t="s">
        <v>2774</v>
      </c>
      <c r="H2026" s="389" t="s">
        <v>736</v>
      </c>
      <c r="I2026" s="484" t="s">
        <v>635</v>
      </c>
      <c r="J2026" s="487" t="s">
        <v>636</v>
      </c>
      <c r="K2026" s="183"/>
      <c r="L2026" s="183"/>
      <c r="M2026" s="484" t="s">
        <v>712</v>
      </c>
      <c r="N2026" s="487">
        <v>2201</v>
      </c>
      <c r="O2026" s="487" t="s">
        <v>2527</v>
      </c>
      <c r="P2026" s="484" t="s">
        <v>1554</v>
      </c>
      <c r="Q2026" s="458"/>
      <c r="R2026" s="459"/>
    </row>
    <row r="2027" spans="1:18" ht="36">
      <c r="A2027" s="493"/>
      <c r="B2027" s="387">
        <v>46181</v>
      </c>
      <c r="C2027" s="388">
        <v>46143</v>
      </c>
      <c r="D2027" s="495" t="s">
        <v>248</v>
      </c>
      <c r="E2027" s="484" t="s">
        <v>592</v>
      </c>
      <c r="F2027" s="498">
        <v>40.950000000000003</v>
      </c>
      <c r="G2027" s="486" t="s">
        <v>3522</v>
      </c>
      <c r="H2027" s="462" t="s">
        <v>1418</v>
      </c>
      <c r="I2027" s="484" t="s">
        <v>635</v>
      </c>
      <c r="J2027" s="487" t="s">
        <v>636</v>
      </c>
      <c r="K2027" s="183"/>
      <c r="L2027" s="183"/>
      <c r="M2027" s="484" t="s">
        <v>712</v>
      </c>
      <c r="N2027" s="487">
        <v>756</v>
      </c>
      <c r="O2027" s="487" t="s">
        <v>2527</v>
      </c>
      <c r="P2027" s="484" t="s">
        <v>1553</v>
      </c>
      <c r="Q2027" s="458"/>
      <c r="R2027" s="459"/>
    </row>
    <row r="2028" spans="1:18" ht="60">
      <c r="A2028" s="493"/>
      <c r="B2028" s="387">
        <v>46181</v>
      </c>
      <c r="C2028" s="388">
        <v>46143</v>
      </c>
      <c r="D2028" s="495" t="s">
        <v>248</v>
      </c>
      <c r="E2028" s="484" t="s">
        <v>1552</v>
      </c>
      <c r="F2028" s="498">
        <v>750</v>
      </c>
      <c r="G2028" s="486" t="s">
        <v>2776</v>
      </c>
      <c r="H2028" s="389" t="s">
        <v>736</v>
      </c>
      <c r="I2028" s="484" t="s">
        <v>635</v>
      </c>
      <c r="J2028" s="487" t="s">
        <v>636</v>
      </c>
      <c r="K2028" s="183"/>
      <c r="L2028" s="183"/>
      <c r="M2028" s="484" t="s">
        <v>712</v>
      </c>
      <c r="N2028" s="487">
        <v>64</v>
      </c>
      <c r="O2028" s="487" t="s">
        <v>2118</v>
      </c>
      <c r="P2028" s="484" t="s">
        <v>1554</v>
      </c>
      <c r="Q2028" s="458"/>
      <c r="R2028" s="459"/>
    </row>
    <row r="2029" spans="1:18" ht="36">
      <c r="A2029" s="493"/>
      <c r="B2029" s="387">
        <v>46181</v>
      </c>
      <c r="C2029" s="388">
        <v>46143</v>
      </c>
      <c r="D2029" s="495" t="s">
        <v>248</v>
      </c>
      <c r="E2029" s="484" t="s">
        <v>594</v>
      </c>
      <c r="F2029" s="498">
        <v>425</v>
      </c>
      <c r="G2029" s="486" t="s">
        <v>2777</v>
      </c>
      <c r="H2029" s="462" t="s">
        <v>737</v>
      </c>
      <c r="I2029" s="484" t="s">
        <v>635</v>
      </c>
      <c r="J2029" s="487" t="s">
        <v>636</v>
      </c>
      <c r="K2029" s="183"/>
      <c r="L2029" s="183"/>
      <c r="M2029" s="484" t="s">
        <v>712</v>
      </c>
      <c r="N2029" s="487">
        <v>19</v>
      </c>
      <c r="O2029" s="487" t="s">
        <v>2527</v>
      </c>
      <c r="P2029" s="484" t="s">
        <v>1554</v>
      </c>
      <c r="Q2029" s="458"/>
      <c r="R2029" s="459"/>
    </row>
    <row r="2030" spans="1:18" ht="72">
      <c r="A2030" s="493"/>
      <c r="B2030" s="387">
        <v>46181</v>
      </c>
      <c r="C2030" s="388">
        <v>46143</v>
      </c>
      <c r="D2030" s="495" t="s">
        <v>248</v>
      </c>
      <c r="E2030" s="484" t="s">
        <v>1213</v>
      </c>
      <c r="F2030" s="498">
        <v>450</v>
      </c>
      <c r="G2030" s="486" t="s">
        <v>2778</v>
      </c>
      <c r="H2030" s="392" t="s">
        <v>278</v>
      </c>
      <c r="I2030" s="484" t="s">
        <v>635</v>
      </c>
      <c r="J2030" s="487" t="s">
        <v>636</v>
      </c>
      <c r="K2030" s="183"/>
      <c r="L2030" s="183"/>
      <c r="M2030" s="484" t="s">
        <v>712</v>
      </c>
      <c r="N2030" s="487">
        <v>48</v>
      </c>
      <c r="O2030" s="487" t="s">
        <v>2118</v>
      </c>
      <c r="P2030" s="484" t="s">
        <v>1554</v>
      </c>
      <c r="Q2030" s="458"/>
      <c r="R2030" s="459"/>
    </row>
    <row r="2031" spans="1:18" ht="72">
      <c r="A2031" s="493"/>
      <c r="B2031" s="387">
        <v>46181</v>
      </c>
      <c r="C2031" s="388">
        <v>46143</v>
      </c>
      <c r="D2031" s="495" t="s">
        <v>248</v>
      </c>
      <c r="E2031" s="484" t="s">
        <v>1552</v>
      </c>
      <c r="F2031" s="498">
        <v>502.5</v>
      </c>
      <c r="G2031" s="486" t="s">
        <v>2779</v>
      </c>
      <c r="H2031" s="389" t="s">
        <v>736</v>
      </c>
      <c r="I2031" s="484" t="s">
        <v>635</v>
      </c>
      <c r="J2031" s="487" t="s">
        <v>636</v>
      </c>
      <c r="K2031" s="183"/>
      <c r="L2031" s="183"/>
      <c r="M2031" s="484" t="s">
        <v>712</v>
      </c>
      <c r="N2031" s="487">
        <v>84</v>
      </c>
      <c r="O2031" s="487" t="s">
        <v>2527</v>
      </c>
      <c r="P2031" s="484" t="s">
        <v>1554</v>
      </c>
      <c r="Q2031" s="458"/>
      <c r="R2031" s="459"/>
    </row>
    <row r="2032" spans="1:18" ht="60">
      <c r="A2032" s="493"/>
      <c r="B2032" s="387">
        <v>46181</v>
      </c>
      <c r="C2032" s="388">
        <v>46143</v>
      </c>
      <c r="D2032" s="495" t="s">
        <v>248</v>
      </c>
      <c r="E2032" s="484" t="s">
        <v>596</v>
      </c>
      <c r="F2032" s="498">
        <v>70</v>
      </c>
      <c r="G2032" s="486" t="s">
        <v>2781</v>
      </c>
      <c r="H2032" s="389" t="s">
        <v>737</v>
      </c>
      <c r="I2032" s="484" t="s">
        <v>635</v>
      </c>
      <c r="J2032" s="487" t="s">
        <v>636</v>
      </c>
      <c r="K2032" s="183"/>
      <c r="L2032" s="183"/>
      <c r="M2032" s="484" t="s">
        <v>712</v>
      </c>
      <c r="N2032" s="487">
        <v>464</v>
      </c>
      <c r="O2032" s="487" t="s">
        <v>2527</v>
      </c>
      <c r="P2032" s="484" t="s">
        <v>1554</v>
      </c>
      <c r="Q2032" s="458"/>
      <c r="R2032" s="459"/>
    </row>
    <row r="2033" spans="1:18" ht="48">
      <c r="A2033" s="493"/>
      <c r="B2033" s="387">
        <v>46181</v>
      </c>
      <c r="C2033" s="388">
        <v>46143</v>
      </c>
      <c r="D2033" s="495" t="s">
        <v>248</v>
      </c>
      <c r="E2033" s="484" t="s">
        <v>594</v>
      </c>
      <c r="F2033" s="498">
        <v>308.05</v>
      </c>
      <c r="G2033" s="486" t="s">
        <v>2784</v>
      </c>
      <c r="H2033" s="462" t="s">
        <v>736</v>
      </c>
      <c r="I2033" s="484" t="s">
        <v>635</v>
      </c>
      <c r="J2033" s="487" t="s">
        <v>636</v>
      </c>
      <c r="K2033" s="183"/>
      <c r="L2033" s="183"/>
      <c r="M2033" s="484" t="s">
        <v>712</v>
      </c>
      <c r="N2033" s="487">
        <v>22</v>
      </c>
      <c r="O2033" s="487" t="s">
        <v>2530</v>
      </c>
      <c r="P2033" s="484" t="s">
        <v>1554</v>
      </c>
      <c r="Q2033" s="458"/>
      <c r="R2033" s="459"/>
    </row>
    <row r="2034" spans="1:18" ht="48">
      <c r="A2034" s="493"/>
      <c r="B2034" s="387">
        <v>46181</v>
      </c>
      <c r="C2034" s="388">
        <v>46143</v>
      </c>
      <c r="D2034" s="495" t="s">
        <v>248</v>
      </c>
      <c r="E2034" s="484" t="s">
        <v>2254</v>
      </c>
      <c r="F2034" s="498">
        <v>133.09</v>
      </c>
      <c r="G2034" s="486" t="s">
        <v>2785</v>
      </c>
      <c r="H2034" s="389" t="s">
        <v>737</v>
      </c>
      <c r="I2034" s="484" t="s">
        <v>635</v>
      </c>
      <c r="J2034" s="487" t="s">
        <v>636</v>
      </c>
      <c r="K2034" s="183"/>
      <c r="L2034" s="183"/>
      <c r="M2034" s="484" t="s">
        <v>712</v>
      </c>
      <c r="N2034" s="487">
        <v>60</v>
      </c>
      <c r="O2034" s="487" t="s">
        <v>2530</v>
      </c>
      <c r="P2034" s="484" t="s">
        <v>1554</v>
      </c>
      <c r="Q2034" s="458"/>
      <c r="R2034" s="459"/>
    </row>
    <row r="2035" spans="1:18" ht="36">
      <c r="A2035" s="493"/>
      <c r="B2035" s="387">
        <v>46181</v>
      </c>
      <c r="C2035" s="388">
        <v>46143</v>
      </c>
      <c r="D2035" s="484" t="s">
        <v>166</v>
      </c>
      <c r="E2035" s="484" t="s">
        <v>581</v>
      </c>
      <c r="F2035" s="498">
        <v>15.45</v>
      </c>
      <c r="G2035" s="486" t="s">
        <v>2838</v>
      </c>
      <c r="H2035" s="389" t="s">
        <v>166</v>
      </c>
      <c r="I2035" s="484" t="s">
        <v>635</v>
      </c>
      <c r="J2035" s="487" t="s">
        <v>636</v>
      </c>
      <c r="K2035" s="183"/>
      <c r="L2035" s="183"/>
      <c r="M2035" s="484" t="s">
        <v>712</v>
      </c>
      <c r="N2035" s="487">
        <v>6852</v>
      </c>
      <c r="O2035" s="487" t="s">
        <v>2529</v>
      </c>
      <c r="P2035" s="484" t="s">
        <v>1553</v>
      </c>
      <c r="Q2035" s="458"/>
      <c r="R2035" s="459"/>
    </row>
    <row r="2036" spans="1:18" ht="36">
      <c r="A2036" s="493"/>
      <c r="B2036" s="387">
        <v>46181</v>
      </c>
      <c r="C2036" s="388">
        <v>46143</v>
      </c>
      <c r="D2036" s="495" t="s">
        <v>248</v>
      </c>
      <c r="E2036" s="484" t="s">
        <v>802</v>
      </c>
      <c r="F2036" s="498">
        <v>45</v>
      </c>
      <c r="G2036" s="486" t="s">
        <v>2787</v>
      </c>
      <c r="H2036" s="389" t="s">
        <v>737</v>
      </c>
      <c r="I2036" s="484" t="s">
        <v>635</v>
      </c>
      <c r="J2036" s="487" t="s">
        <v>636</v>
      </c>
      <c r="K2036" s="183"/>
      <c r="L2036" s="183"/>
      <c r="M2036" s="484" t="s">
        <v>712</v>
      </c>
      <c r="N2036" s="487">
        <v>77</v>
      </c>
      <c r="O2036" s="487" t="s">
        <v>2530</v>
      </c>
      <c r="P2036" s="484" t="s">
        <v>1553</v>
      </c>
      <c r="Q2036" s="458"/>
      <c r="R2036" s="459"/>
    </row>
    <row r="2037" spans="1:18" ht="48">
      <c r="A2037" s="493"/>
      <c r="B2037" s="387">
        <v>46181</v>
      </c>
      <c r="C2037" s="388">
        <v>46143</v>
      </c>
      <c r="D2037" s="495" t="s">
        <v>248</v>
      </c>
      <c r="E2037" s="484" t="s">
        <v>592</v>
      </c>
      <c r="F2037" s="498">
        <v>22.2</v>
      </c>
      <c r="G2037" s="486" t="s">
        <v>2788</v>
      </c>
      <c r="H2037" s="462" t="s">
        <v>737</v>
      </c>
      <c r="I2037" s="484" t="s">
        <v>635</v>
      </c>
      <c r="J2037" s="487" t="s">
        <v>636</v>
      </c>
      <c r="K2037" s="183"/>
      <c r="L2037" s="183"/>
      <c r="M2037" s="484" t="s">
        <v>712</v>
      </c>
      <c r="N2037" s="487">
        <v>683</v>
      </c>
      <c r="O2037" s="487" t="s">
        <v>2530</v>
      </c>
      <c r="P2037" s="484" t="s">
        <v>1553</v>
      </c>
      <c r="Q2037" s="458"/>
      <c r="R2037" s="459"/>
    </row>
    <row r="2038" spans="1:18" ht="36">
      <c r="A2038" s="493"/>
      <c r="B2038" s="387">
        <v>46181</v>
      </c>
      <c r="C2038" s="388">
        <v>46143</v>
      </c>
      <c r="D2038" s="495" t="s">
        <v>248</v>
      </c>
      <c r="E2038" s="484" t="s">
        <v>1552</v>
      </c>
      <c r="F2038" s="498">
        <v>500</v>
      </c>
      <c r="G2038" s="486" t="s">
        <v>2791</v>
      </c>
      <c r="H2038" s="389" t="s">
        <v>736</v>
      </c>
      <c r="I2038" s="484" t="s">
        <v>635</v>
      </c>
      <c r="J2038" s="487" t="s">
        <v>636</v>
      </c>
      <c r="K2038" s="183"/>
      <c r="L2038" s="183"/>
      <c r="M2038" s="484" t="s">
        <v>712</v>
      </c>
      <c r="N2038" s="487">
        <v>719</v>
      </c>
      <c r="O2038" s="487" t="s">
        <v>2531</v>
      </c>
      <c r="P2038" s="484" t="s">
        <v>1554</v>
      </c>
      <c r="Q2038" s="458"/>
      <c r="R2038" s="459"/>
    </row>
    <row r="2039" spans="1:18" ht="36">
      <c r="A2039" s="493"/>
      <c r="B2039" s="387">
        <v>46181</v>
      </c>
      <c r="C2039" s="388">
        <v>46143</v>
      </c>
      <c r="D2039" s="495" t="s">
        <v>248</v>
      </c>
      <c r="E2039" s="60" t="s">
        <v>87</v>
      </c>
      <c r="F2039" s="498">
        <v>70.349999999999994</v>
      </c>
      <c r="G2039" s="486" t="s">
        <v>2792</v>
      </c>
      <c r="H2039" s="389" t="s">
        <v>278</v>
      </c>
      <c r="I2039" s="484" t="s">
        <v>635</v>
      </c>
      <c r="J2039" s="487" t="s">
        <v>636</v>
      </c>
      <c r="K2039" s="183"/>
      <c r="L2039" s="183"/>
      <c r="M2039" s="484" t="s">
        <v>712</v>
      </c>
      <c r="N2039" s="487">
        <v>70</v>
      </c>
      <c r="O2039" s="487" t="s">
        <v>2531</v>
      </c>
      <c r="P2039" s="484" t="s">
        <v>1553</v>
      </c>
      <c r="Q2039" s="458"/>
      <c r="R2039" s="459"/>
    </row>
    <row r="2040" spans="1:18" ht="36">
      <c r="A2040" s="493"/>
      <c r="B2040" s="387">
        <v>46181</v>
      </c>
      <c r="C2040" s="388">
        <v>46143</v>
      </c>
      <c r="D2040" s="495" t="s">
        <v>248</v>
      </c>
      <c r="E2040" s="484" t="s">
        <v>594</v>
      </c>
      <c r="F2040" s="498">
        <v>1400</v>
      </c>
      <c r="G2040" s="486" t="s">
        <v>2793</v>
      </c>
      <c r="H2040" s="462" t="s">
        <v>736</v>
      </c>
      <c r="I2040" s="484" t="s">
        <v>635</v>
      </c>
      <c r="J2040" s="487" t="s">
        <v>636</v>
      </c>
      <c r="K2040" s="183"/>
      <c r="L2040" s="183"/>
      <c r="M2040" s="484" t="s">
        <v>712</v>
      </c>
      <c r="N2040" s="487">
        <v>20</v>
      </c>
      <c r="O2040" s="487" t="s">
        <v>2532</v>
      </c>
      <c r="P2040" s="484" t="s">
        <v>1554</v>
      </c>
      <c r="Q2040" s="458"/>
      <c r="R2040" s="459"/>
    </row>
    <row r="2041" spans="1:18" ht="36">
      <c r="A2041" s="493"/>
      <c r="B2041" s="387">
        <v>46181</v>
      </c>
      <c r="C2041" s="388">
        <v>46143</v>
      </c>
      <c r="D2041" s="495" t="s">
        <v>248</v>
      </c>
      <c r="E2041" s="484" t="s">
        <v>594</v>
      </c>
      <c r="F2041" s="498">
        <v>150</v>
      </c>
      <c r="G2041" s="486" t="s">
        <v>2793</v>
      </c>
      <c r="H2041" s="462" t="s">
        <v>736</v>
      </c>
      <c r="I2041" s="484" t="s">
        <v>635</v>
      </c>
      <c r="J2041" s="487" t="s">
        <v>636</v>
      </c>
      <c r="K2041" s="183"/>
      <c r="L2041" s="183"/>
      <c r="M2041" s="484" t="s">
        <v>712</v>
      </c>
      <c r="N2041" s="487">
        <v>21</v>
      </c>
      <c r="O2041" s="487" t="s">
        <v>2532</v>
      </c>
      <c r="P2041" s="484" t="s">
        <v>1554</v>
      </c>
      <c r="Q2041" s="458"/>
      <c r="R2041" s="459"/>
    </row>
    <row r="2042" spans="1:18" ht="48">
      <c r="A2042" s="493"/>
      <c r="B2042" s="387">
        <v>46181</v>
      </c>
      <c r="C2042" s="388">
        <v>46143</v>
      </c>
      <c r="D2042" s="495" t="s">
        <v>248</v>
      </c>
      <c r="E2042" s="60" t="s">
        <v>494</v>
      </c>
      <c r="F2042" s="498">
        <v>1316.39</v>
      </c>
      <c r="G2042" s="486" t="s">
        <v>1644</v>
      </c>
      <c r="H2042" s="389" t="s">
        <v>736</v>
      </c>
      <c r="I2042" s="484" t="s">
        <v>635</v>
      </c>
      <c r="J2042" s="487" t="s">
        <v>636</v>
      </c>
      <c r="K2042" s="183"/>
      <c r="L2042" s="183"/>
      <c r="M2042" s="484" t="s">
        <v>712</v>
      </c>
      <c r="N2042" s="487">
        <v>15</v>
      </c>
      <c r="O2042" s="487" t="s">
        <v>2551</v>
      </c>
      <c r="P2042" s="484" t="s">
        <v>1554</v>
      </c>
      <c r="Q2042" s="458"/>
      <c r="R2042" s="459"/>
    </row>
    <row r="2043" spans="1:18" ht="36">
      <c r="A2043" s="493"/>
      <c r="B2043" s="387">
        <v>46181</v>
      </c>
      <c r="C2043" s="388">
        <v>46143</v>
      </c>
      <c r="D2043" s="484" t="s">
        <v>166</v>
      </c>
      <c r="E2043" s="484" t="s">
        <v>581</v>
      </c>
      <c r="F2043" s="498">
        <v>7.04</v>
      </c>
      <c r="G2043" s="486" t="s">
        <v>2839</v>
      </c>
      <c r="H2043" s="389" t="s">
        <v>166</v>
      </c>
      <c r="I2043" s="484" t="s">
        <v>635</v>
      </c>
      <c r="J2043" s="487" t="s">
        <v>636</v>
      </c>
      <c r="K2043" s="183"/>
      <c r="L2043" s="183"/>
      <c r="M2043" s="484" t="s">
        <v>712</v>
      </c>
      <c r="N2043" s="487">
        <v>242</v>
      </c>
      <c r="O2043" s="487" t="s">
        <v>2527</v>
      </c>
      <c r="P2043" s="484" t="s">
        <v>1553</v>
      </c>
      <c r="Q2043" s="458"/>
      <c r="R2043" s="459"/>
    </row>
    <row r="2044" spans="1:18" ht="36">
      <c r="A2044" s="493"/>
      <c r="B2044" s="387">
        <v>46181</v>
      </c>
      <c r="C2044" s="388">
        <v>46143</v>
      </c>
      <c r="D2044" s="495" t="s">
        <v>248</v>
      </c>
      <c r="E2044" s="484" t="s">
        <v>592</v>
      </c>
      <c r="F2044" s="498">
        <v>90.09</v>
      </c>
      <c r="G2044" s="486" t="s">
        <v>2794</v>
      </c>
      <c r="H2044" s="462" t="s">
        <v>737</v>
      </c>
      <c r="I2044" s="484" t="s">
        <v>635</v>
      </c>
      <c r="J2044" s="487" t="s">
        <v>636</v>
      </c>
      <c r="K2044" s="183"/>
      <c r="L2044" s="183"/>
      <c r="M2044" s="484" t="s">
        <v>712</v>
      </c>
      <c r="N2044" s="487">
        <v>649</v>
      </c>
      <c r="O2044" s="487" t="s">
        <v>2527</v>
      </c>
      <c r="P2044" s="484" t="s">
        <v>1554</v>
      </c>
      <c r="Q2044" s="458"/>
      <c r="R2044" s="459"/>
    </row>
    <row r="2045" spans="1:18" ht="36">
      <c r="A2045" s="493"/>
      <c r="B2045" s="387">
        <v>46181</v>
      </c>
      <c r="C2045" s="388">
        <v>46143</v>
      </c>
      <c r="D2045" s="495" t="s">
        <v>248</v>
      </c>
      <c r="E2045" s="60" t="s">
        <v>171</v>
      </c>
      <c r="F2045" s="498">
        <v>15.26</v>
      </c>
      <c r="G2045" s="486" t="s">
        <v>2840</v>
      </c>
      <c r="H2045" s="389" t="s">
        <v>278</v>
      </c>
      <c r="I2045" s="484" t="s">
        <v>635</v>
      </c>
      <c r="J2045" s="487" t="s">
        <v>636</v>
      </c>
      <c r="K2045" s="183"/>
      <c r="L2045" s="183"/>
      <c r="M2045" s="484" t="s">
        <v>712</v>
      </c>
      <c r="N2045" s="487">
        <v>316</v>
      </c>
      <c r="O2045" s="487" t="s">
        <v>2530</v>
      </c>
      <c r="P2045" s="484" t="s">
        <v>1553</v>
      </c>
      <c r="Q2045" s="458"/>
      <c r="R2045" s="459"/>
    </row>
    <row r="2046" spans="1:18" ht="36">
      <c r="A2046" s="493"/>
      <c r="B2046" s="387">
        <v>46181</v>
      </c>
      <c r="C2046" s="388">
        <v>46143</v>
      </c>
      <c r="D2046" s="495" t="s">
        <v>248</v>
      </c>
      <c r="E2046" s="60" t="s">
        <v>171</v>
      </c>
      <c r="F2046" s="498">
        <v>54.37</v>
      </c>
      <c r="G2046" s="486" t="s">
        <v>2840</v>
      </c>
      <c r="H2046" s="389" t="s">
        <v>278</v>
      </c>
      <c r="I2046" s="484" t="s">
        <v>635</v>
      </c>
      <c r="J2046" s="487" t="s">
        <v>636</v>
      </c>
      <c r="K2046" s="183"/>
      <c r="L2046" s="183"/>
      <c r="M2046" s="484" t="s">
        <v>712</v>
      </c>
      <c r="N2046" s="487">
        <v>317</v>
      </c>
      <c r="O2046" s="487" t="s">
        <v>2530</v>
      </c>
      <c r="P2046" s="484" t="s">
        <v>1553</v>
      </c>
      <c r="Q2046" s="458"/>
      <c r="R2046" s="459"/>
    </row>
    <row r="2047" spans="1:18" ht="48">
      <c r="A2047" s="493"/>
      <c r="B2047" s="387">
        <v>46181</v>
      </c>
      <c r="C2047" s="388">
        <v>46143</v>
      </c>
      <c r="D2047" s="495" t="s">
        <v>248</v>
      </c>
      <c r="E2047" s="60" t="s">
        <v>78</v>
      </c>
      <c r="F2047" s="498">
        <v>54.4</v>
      </c>
      <c r="G2047" s="486" t="s">
        <v>2852</v>
      </c>
      <c r="H2047" s="462" t="s">
        <v>736</v>
      </c>
      <c r="I2047" s="484" t="s">
        <v>635</v>
      </c>
      <c r="J2047" s="487" t="s">
        <v>636</v>
      </c>
      <c r="K2047" s="183"/>
      <c r="L2047" s="183"/>
      <c r="M2047" s="484" t="s">
        <v>712</v>
      </c>
      <c r="N2047" s="487">
        <v>246</v>
      </c>
      <c r="O2047" s="487" t="s">
        <v>2531</v>
      </c>
      <c r="P2047" s="484" t="s">
        <v>1554</v>
      </c>
      <c r="Q2047" s="458"/>
      <c r="R2047" s="459"/>
    </row>
    <row r="2048" spans="1:18" ht="84">
      <c r="A2048" s="493"/>
      <c r="B2048" s="387">
        <v>46181</v>
      </c>
      <c r="C2048" s="388">
        <v>46143</v>
      </c>
      <c r="D2048" s="495" t="s">
        <v>248</v>
      </c>
      <c r="E2048" s="484" t="s">
        <v>2675</v>
      </c>
      <c r="F2048" s="498">
        <v>221.25</v>
      </c>
      <c r="G2048" s="486" t="s">
        <v>2853</v>
      </c>
      <c r="H2048" s="462" t="s">
        <v>736</v>
      </c>
      <c r="I2048" s="484" t="s">
        <v>635</v>
      </c>
      <c r="J2048" s="487" t="s">
        <v>636</v>
      </c>
      <c r="K2048" s="183"/>
      <c r="L2048" s="183"/>
      <c r="M2048" s="484" t="s">
        <v>712</v>
      </c>
      <c r="N2048" s="487">
        <v>14</v>
      </c>
      <c r="O2048" s="487" t="s">
        <v>2532</v>
      </c>
      <c r="P2048" s="484" t="s">
        <v>1553</v>
      </c>
      <c r="Q2048" s="458"/>
      <c r="R2048" s="459"/>
    </row>
    <row r="2049" spans="1:18" ht="36">
      <c r="A2049" s="493"/>
      <c r="B2049" s="387">
        <v>46181</v>
      </c>
      <c r="C2049" s="388">
        <v>46143</v>
      </c>
      <c r="D2049" s="495" t="s">
        <v>248</v>
      </c>
      <c r="E2049" s="484" t="s">
        <v>1219</v>
      </c>
      <c r="F2049" s="498">
        <v>119.96</v>
      </c>
      <c r="G2049" s="486" t="s">
        <v>2855</v>
      </c>
      <c r="H2049" s="389" t="s">
        <v>736</v>
      </c>
      <c r="I2049" s="484" t="s">
        <v>635</v>
      </c>
      <c r="J2049" s="487" t="s">
        <v>636</v>
      </c>
      <c r="K2049" s="183"/>
      <c r="L2049" s="183"/>
      <c r="M2049" s="484" t="s">
        <v>712</v>
      </c>
      <c r="N2049" s="487">
        <v>24</v>
      </c>
      <c r="O2049" s="487" t="s">
        <v>2532</v>
      </c>
      <c r="P2049" s="484" t="s">
        <v>1554</v>
      </c>
      <c r="Q2049" s="458"/>
      <c r="R2049" s="459"/>
    </row>
    <row r="2050" spans="1:18" ht="60">
      <c r="A2050" s="493"/>
      <c r="B2050" s="387">
        <v>46181</v>
      </c>
      <c r="C2050" s="388">
        <v>46143</v>
      </c>
      <c r="D2050" s="495" t="s">
        <v>248</v>
      </c>
      <c r="E2050" s="60" t="s">
        <v>78</v>
      </c>
      <c r="F2050" s="498">
        <v>378</v>
      </c>
      <c r="G2050" s="486" t="s">
        <v>2284</v>
      </c>
      <c r="H2050" s="453" t="s">
        <v>736</v>
      </c>
      <c r="I2050" s="484" t="s">
        <v>635</v>
      </c>
      <c r="J2050" s="487" t="s">
        <v>636</v>
      </c>
      <c r="K2050" s="183"/>
      <c r="L2050" s="183"/>
      <c r="M2050" s="484" t="s">
        <v>712</v>
      </c>
      <c r="N2050" s="487">
        <v>17</v>
      </c>
      <c r="O2050" s="487" t="s">
        <v>2532</v>
      </c>
      <c r="P2050" s="484" t="s">
        <v>1554</v>
      </c>
      <c r="Q2050" s="458"/>
      <c r="R2050" s="459"/>
    </row>
    <row r="2051" spans="1:18" ht="36">
      <c r="A2051" s="493"/>
      <c r="B2051" s="387">
        <v>46181</v>
      </c>
      <c r="C2051" s="388">
        <v>46143</v>
      </c>
      <c r="D2051" s="495" t="s">
        <v>248</v>
      </c>
      <c r="E2051" s="484" t="s">
        <v>601</v>
      </c>
      <c r="F2051" s="498">
        <v>560.44000000000005</v>
      </c>
      <c r="G2051" s="486" t="s">
        <v>2862</v>
      </c>
      <c r="H2051" s="389" t="s">
        <v>278</v>
      </c>
      <c r="I2051" s="484" t="s">
        <v>635</v>
      </c>
      <c r="J2051" s="487" t="s">
        <v>636</v>
      </c>
      <c r="K2051" s="183"/>
      <c r="L2051" s="183"/>
      <c r="M2051" s="484" t="s">
        <v>712</v>
      </c>
      <c r="N2051" s="487">
        <v>244</v>
      </c>
      <c r="O2051" s="487" t="s">
        <v>2535</v>
      </c>
      <c r="P2051" s="484" t="s">
        <v>1554</v>
      </c>
      <c r="Q2051" s="458"/>
      <c r="R2051" s="459"/>
    </row>
    <row r="2052" spans="1:18" ht="36">
      <c r="A2052" s="493"/>
      <c r="B2052" s="387">
        <v>46181</v>
      </c>
      <c r="C2052" s="388">
        <v>46143</v>
      </c>
      <c r="D2052" s="484" t="s">
        <v>166</v>
      </c>
      <c r="E2052" s="484" t="s">
        <v>581</v>
      </c>
      <c r="F2052" s="498">
        <v>22.51</v>
      </c>
      <c r="G2052" s="486" t="s">
        <v>3580</v>
      </c>
      <c r="H2052" s="389" t="s">
        <v>166</v>
      </c>
      <c r="I2052" s="484" t="s">
        <v>635</v>
      </c>
      <c r="J2052" s="487" t="s">
        <v>636</v>
      </c>
      <c r="K2052" s="183"/>
      <c r="L2052" s="183"/>
      <c r="M2052" s="484" t="s">
        <v>712</v>
      </c>
      <c r="N2052" s="487">
        <v>18064</v>
      </c>
      <c r="O2052" s="487" t="s">
        <v>2533</v>
      </c>
      <c r="P2052" s="484" t="s">
        <v>1553</v>
      </c>
      <c r="Q2052" s="458"/>
      <c r="R2052" s="459"/>
    </row>
    <row r="2053" spans="1:18" s="439" customFormat="1" ht="36">
      <c r="A2053" s="502"/>
      <c r="B2053" s="503">
        <v>46181</v>
      </c>
      <c r="C2053" s="504">
        <v>46143</v>
      </c>
      <c r="D2053" s="495" t="s">
        <v>248</v>
      </c>
      <c r="E2053" s="513" t="s">
        <v>495</v>
      </c>
      <c r="F2053" s="512">
        <v>5.0999999999999996</v>
      </c>
      <c r="G2053" s="507"/>
      <c r="H2053" s="389" t="s">
        <v>736</v>
      </c>
      <c r="I2053" s="506" t="s">
        <v>635</v>
      </c>
      <c r="J2053" s="509" t="s">
        <v>636</v>
      </c>
      <c r="K2053" s="510"/>
      <c r="L2053" s="510"/>
      <c r="M2053" s="506" t="s">
        <v>712</v>
      </c>
      <c r="N2053" s="509">
        <v>442</v>
      </c>
      <c r="O2053" s="509"/>
      <c r="P2053" s="506" t="s">
        <v>1553</v>
      </c>
      <c r="Q2053" s="505"/>
      <c r="R2053" s="511"/>
    </row>
    <row r="2054" spans="1:18" ht="36">
      <c r="A2054" s="493"/>
      <c r="B2054" s="387">
        <v>46181</v>
      </c>
      <c r="C2054" s="388">
        <v>46143</v>
      </c>
      <c r="D2054" s="484" t="s">
        <v>166</v>
      </c>
      <c r="E2054" s="484" t="s">
        <v>581</v>
      </c>
      <c r="F2054" s="498">
        <v>16.059999999999999</v>
      </c>
      <c r="G2054" s="486" t="s">
        <v>3581</v>
      </c>
      <c r="H2054" s="389" t="s">
        <v>166</v>
      </c>
      <c r="I2054" s="484" t="s">
        <v>635</v>
      </c>
      <c r="J2054" s="487" t="s">
        <v>636</v>
      </c>
      <c r="K2054" s="183"/>
      <c r="L2054" s="183"/>
      <c r="M2054" s="484" t="s">
        <v>712</v>
      </c>
      <c r="N2054" s="487">
        <v>7809</v>
      </c>
      <c r="O2054" s="487" t="s">
        <v>2533</v>
      </c>
      <c r="P2054" s="484" t="s">
        <v>1553</v>
      </c>
      <c r="Q2054" s="458"/>
      <c r="R2054" s="459"/>
    </row>
    <row r="2055" spans="1:18" ht="72">
      <c r="A2055" s="493"/>
      <c r="B2055" s="387">
        <v>46181</v>
      </c>
      <c r="C2055" s="388">
        <v>46143</v>
      </c>
      <c r="D2055" s="495" t="s">
        <v>248</v>
      </c>
      <c r="E2055" s="60" t="s">
        <v>455</v>
      </c>
      <c r="F2055" s="498">
        <v>95</v>
      </c>
      <c r="G2055" s="486" t="s">
        <v>2863</v>
      </c>
      <c r="H2055" s="462" t="s">
        <v>736</v>
      </c>
      <c r="I2055" s="484" t="s">
        <v>635</v>
      </c>
      <c r="J2055" s="487" t="s">
        <v>636</v>
      </c>
      <c r="K2055" s="183"/>
      <c r="L2055" s="183"/>
      <c r="M2055" s="484" t="s">
        <v>712</v>
      </c>
      <c r="N2055" s="487">
        <v>16</v>
      </c>
      <c r="O2055" s="487" t="s">
        <v>2534</v>
      </c>
      <c r="P2055" s="484" t="s">
        <v>1554</v>
      </c>
      <c r="Q2055" s="458"/>
      <c r="R2055" s="459"/>
    </row>
    <row r="2056" spans="1:18" ht="96">
      <c r="A2056" s="493"/>
      <c r="B2056" s="387">
        <v>46181</v>
      </c>
      <c r="C2056" s="388">
        <v>46143</v>
      </c>
      <c r="D2056" s="495" t="s">
        <v>248</v>
      </c>
      <c r="E2056" s="484" t="s">
        <v>758</v>
      </c>
      <c r="F2056" s="498">
        <v>5129.37</v>
      </c>
      <c r="G2056" s="486" t="s">
        <v>2919</v>
      </c>
      <c r="H2056" s="392" t="s">
        <v>738</v>
      </c>
      <c r="I2056" s="484" t="s">
        <v>3384</v>
      </c>
      <c r="J2056" s="487" t="s">
        <v>636</v>
      </c>
      <c r="K2056" s="183"/>
      <c r="L2056" s="183"/>
      <c r="M2056" s="484" t="s">
        <v>3510</v>
      </c>
      <c r="N2056" s="487">
        <v>329</v>
      </c>
      <c r="O2056" s="487" t="s">
        <v>2537</v>
      </c>
      <c r="P2056" s="484" t="s">
        <v>1554</v>
      </c>
      <c r="Q2056" s="458"/>
      <c r="R2056" s="459"/>
    </row>
    <row r="2057" spans="1:18" ht="36">
      <c r="A2057" s="493"/>
      <c r="B2057" s="387">
        <v>46181</v>
      </c>
      <c r="C2057" s="388">
        <v>46143</v>
      </c>
      <c r="D2057" s="495" t="s">
        <v>248</v>
      </c>
      <c r="E2057" s="484" t="s">
        <v>1208</v>
      </c>
      <c r="F2057" s="498">
        <v>232.44</v>
      </c>
      <c r="G2057" s="486" t="s">
        <v>2920</v>
      </c>
      <c r="H2057" s="462" t="s">
        <v>1418</v>
      </c>
      <c r="I2057" s="484" t="s">
        <v>635</v>
      </c>
      <c r="J2057" s="487" t="s">
        <v>636</v>
      </c>
      <c r="K2057" s="183"/>
      <c r="L2057" s="183"/>
      <c r="M2057" s="484" t="s">
        <v>712</v>
      </c>
      <c r="N2057" s="487">
        <v>21</v>
      </c>
      <c r="O2057" s="487" t="s">
        <v>2538</v>
      </c>
      <c r="P2057" s="484" t="s">
        <v>1554</v>
      </c>
      <c r="Q2057" s="458"/>
      <c r="R2057" s="459"/>
    </row>
    <row r="2058" spans="1:18" ht="48">
      <c r="A2058" s="493"/>
      <c r="B2058" s="387">
        <v>46181</v>
      </c>
      <c r="C2058" s="388">
        <v>46143</v>
      </c>
      <c r="D2058" s="495" t="s">
        <v>248</v>
      </c>
      <c r="E2058" s="484" t="s">
        <v>2254</v>
      </c>
      <c r="F2058" s="498">
        <v>133.09</v>
      </c>
      <c r="G2058" s="486" t="s">
        <v>2921</v>
      </c>
      <c r="H2058" s="389" t="s">
        <v>737</v>
      </c>
      <c r="I2058" s="484" t="s">
        <v>635</v>
      </c>
      <c r="J2058" s="487" t="s">
        <v>636</v>
      </c>
      <c r="K2058" s="183"/>
      <c r="L2058" s="183"/>
      <c r="M2058" s="484" t="s">
        <v>712</v>
      </c>
      <c r="N2058" s="487">
        <v>64</v>
      </c>
      <c r="O2058" s="487" t="s">
        <v>2537</v>
      </c>
      <c r="P2058" s="484" t="s">
        <v>1554</v>
      </c>
      <c r="Q2058" s="458"/>
      <c r="R2058" s="459"/>
    </row>
    <row r="2059" spans="1:18" ht="48">
      <c r="A2059" s="493"/>
      <c r="B2059" s="387">
        <v>46181</v>
      </c>
      <c r="C2059" s="388">
        <v>46143</v>
      </c>
      <c r="D2059" s="495" t="s">
        <v>248</v>
      </c>
      <c r="E2059" s="484" t="s">
        <v>2676</v>
      </c>
      <c r="F2059" s="498">
        <v>13.75</v>
      </c>
      <c r="G2059" s="486" t="s">
        <v>2924</v>
      </c>
      <c r="H2059" s="462" t="s">
        <v>736</v>
      </c>
      <c r="I2059" s="484" t="s">
        <v>635</v>
      </c>
      <c r="J2059" s="487" t="s">
        <v>636</v>
      </c>
      <c r="K2059" s="183"/>
      <c r="L2059" s="183"/>
      <c r="M2059" s="484" t="s">
        <v>712</v>
      </c>
      <c r="N2059" s="487">
        <v>26</v>
      </c>
      <c r="O2059" s="487" t="s">
        <v>2539</v>
      </c>
      <c r="P2059" s="484" t="s">
        <v>1554</v>
      </c>
      <c r="Q2059" s="458"/>
      <c r="R2059" s="459"/>
    </row>
    <row r="2060" spans="1:18" ht="48">
      <c r="A2060" s="493"/>
      <c r="B2060" s="387">
        <v>46181</v>
      </c>
      <c r="C2060" s="388">
        <v>46143</v>
      </c>
      <c r="D2060" s="495" t="s">
        <v>248</v>
      </c>
      <c r="E2060" s="484" t="s">
        <v>592</v>
      </c>
      <c r="F2060" s="498">
        <v>42.72</v>
      </c>
      <c r="G2060" s="486" t="s">
        <v>3532</v>
      </c>
      <c r="H2060" s="462" t="s">
        <v>737</v>
      </c>
      <c r="I2060" s="484" t="s">
        <v>635</v>
      </c>
      <c r="J2060" s="487" t="s">
        <v>636</v>
      </c>
      <c r="K2060" s="183"/>
      <c r="L2060" s="183"/>
      <c r="M2060" s="484" t="s">
        <v>712</v>
      </c>
      <c r="N2060" s="487">
        <v>544</v>
      </c>
      <c r="O2060" s="487" t="s">
        <v>2540</v>
      </c>
      <c r="P2060" s="484" t="s">
        <v>1554</v>
      </c>
      <c r="Q2060" s="458"/>
      <c r="R2060" s="459"/>
    </row>
    <row r="2061" spans="1:18" ht="48">
      <c r="A2061" s="493"/>
      <c r="B2061" s="387">
        <v>46181</v>
      </c>
      <c r="C2061" s="388">
        <v>46143</v>
      </c>
      <c r="D2061" s="495" t="s">
        <v>248</v>
      </c>
      <c r="E2061" s="484" t="s">
        <v>592</v>
      </c>
      <c r="F2061" s="498">
        <v>42.72</v>
      </c>
      <c r="G2061" s="486" t="s">
        <v>3523</v>
      </c>
      <c r="H2061" s="462" t="s">
        <v>737</v>
      </c>
      <c r="I2061" s="484" t="s">
        <v>635</v>
      </c>
      <c r="J2061" s="487" t="s">
        <v>636</v>
      </c>
      <c r="K2061" s="183"/>
      <c r="L2061" s="183"/>
      <c r="M2061" s="484" t="s">
        <v>712</v>
      </c>
      <c r="N2061" s="487">
        <v>543</v>
      </c>
      <c r="O2061" s="487" t="s">
        <v>2540</v>
      </c>
      <c r="P2061" s="484" t="s">
        <v>1554</v>
      </c>
      <c r="Q2061" s="458"/>
      <c r="R2061" s="459"/>
    </row>
    <row r="2062" spans="1:18" ht="36">
      <c r="A2062" s="493"/>
      <c r="B2062" s="387">
        <v>46181</v>
      </c>
      <c r="C2062" s="388">
        <v>46143</v>
      </c>
      <c r="D2062" s="495" t="s">
        <v>248</v>
      </c>
      <c r="E2062" s="484" t="s">
        <v>599</v>
      </c>
      <c r="F2062" s="498">
        <v>69.319999999999993</v>
      </c>
      <c r="G2062" s="486" t="s">
        <v>2714</v>
      </c>
      <c r="H2062" s="389" t="s">
        <v>736</v>
      </c>
      <c r="I2062" s="484" t="s">
        <v>635</v>
      </c>
      <c r="J2062" s="487" t="s">
        <v>636</v>
      </c>
      <c r="K2062" s="183"/>
      <c r="L2062" s="183"/>
      <c r="M2062" s="484" t="s">
        <v>712</v>
      </c>
      <c r="N2062" s="487">
        <v>64</v>
      </c>
      <c r="O2062" s="487" t="s">
        <v>2540</v>
      </c>
      <c r="P2062" s="484" t="s">
        <v>1553</v>
      </c>
      <c r="Q2062" s="458"/>
      <c r="R2062" s="459"/>
    </row>
    <row r="2063" spans="1:18" ht="60">
      <c r="A2063" s="493"/>
      <c r="B2063" s="387">
        <v>46181</v>
      </c>
      <c r="C2063" s="388">
        <v>46143</v>
      </c>
      <c r="D2063" s="495" t="s">
        <v>248</v>
      </c>
      <c r="E2063" s="484" t="s">
        <v>1213</v>
      </c>
      <c r="F2063" s="498">
        <v>105.6</v>
      </c>
      <c r="G2063" s="486" t="s">
        <v>2909</v>
      </c>
      <c r="H2063" s="392" t="s">
        <v>1029</v>
      </c>
      <c r="I2063" s="484" t="s">
        <v>635</v>
      </c>
      <c r="J2063" s="487" t="s">
        <v>636</v>
      </c>
      <c r="K2063" s="183"/>
      <c r="L2063" s="183"/>
      <c r="M2063" s="484" t="s">
        <v>712</v>
      </c>
      <c r="N2063" s="487">
        <v>59</v>
      </c>
      <c r="O2063" s="487" t="s">
        <v>2540</v>
      </c>
      <c r="P2063" s="484" t="s">
        <v>1553</v>
      </c>
      <c r="Q2063" s="458"/>
      <c r="R2063" s="459"/>
    </row>
    <row r="2064" spans="1:18" ht="36">
      <c r="A2064" s="493"/>
      <c r="B2064" s="387">
        <v>46181</v>
      </c>
      <c r="C2064" s="388">
        <v>46143</v>
      </c>
      <c r="D2064" s="495" t="s">
        <v>248</v>
      </c>
      <c r="E2064" s="484" t="s">
        <v>1551</v>
      </c>
      <c r="F2064" s="498">
        <v>50.8</v>
      </c>
      <c r="G2064" s="486" t="s">
        <v>2925</v>
      </c>
      <c r="H2064" s="389" t="s">
        <v>737</v>
      </c>
      <c r="I2064" s="484" t="s">
        <v>635</v>
      </c>
      <c r="J2064" s="487" t="s">
        <v>636</v>
      </c>
      <c r="K2064" s="183"/>
      <c r="L2064" s="183"/>
      <c r="M2064" s="484" t="s">
        <v>712</v>
      </c>
      <c r="N2064" s="487">
        <v>55</v>
      </c>
      <c r="O2064" s="487" t="s">
        <v>2540</v>
      </c>
      <c r="P2064" s="484" t="s">
        <v>1554</v>
      </c>
      <c r="Q2064" s="458"/>
      <c r="R2064" s="459"/>
    </row>
    <row r="2065" spans="1:18" ht="36">
      <c r="A2065" s="493"/>
      <c r="B2065" s="387">
        <v>46181</v>
      </c>
      <c r="C2065" s="388">
        <v>46143</v>
      </c>
      <c r="D2065" s="495" t="s">
        <v>248</v>
      </c>
      <c r="E2065" s="60" t="s">
        <v>78</v>
      </c>
      <c r="F2065" s="498">
        <v>15</v>
      </c>
      <c r="G2065" s="486" t="s">
        <v>2910</v>
      </c>
      <c r="H2065" s="462" t="s">
        <v>736</v>
      </c>
      <c r="I2065" s="484" t="s">
        <v>635</v>
      </c>
      <c r="J2065" s="487" t="s">
        <v>636</v>
      </c>
      <c r="K2065" s="183"/>
      <c r="L2065" s="183"/>
      <c r="M2065" s="484" t="s">
        <v>712</v>
      </c>
      <c r="N2065" s="487">
        <v>25</v>
      </c>
      <c r="O2065" s="487" t="s">
        <v>2539</v>
      </c>
      <c r="P2065" s="484" t="s">
        <v>1553</v>
      </c>
      <c r="Q2065" s="458"/>
      <c r="R2065" s="459"/>
    </row>
    <row r="2066" spans="1:18" ht="48">
      <c r="A2066" s="493"/>
      <c r="B2066" s="387">
        <v>46181</v>
      </c>
      <c r="C2066" s="388">
        <v>46143</v>
      </c>
      <c r="D2066" s="495" t="s">
        <v>248</v>
      </c>
      <c r="E2066" s="484" t="s">
        <v>1552</v>
      </c>
      <c r="F2066" s="498">
        <v>625</v>
      </c>
      <c r="G2066" s="486" t="s">
        <v>2926</v>
      </c>
      <c r="H2066" s="389" t="s">
        <v>736</v>
      </c>
      <c r="I2066" s="484" t="s">
        <v>635</v>
      </c>
      <c r="J2066" s="487" t="s">
        <v>636</v>
      </c>
      <c r="K2066" s="183"/>
      <c r="L2066" s="183"/>
      <c r="M2066" s="484" t="s">
        <v>712</v>
      </c>
      <c r="N2066" s="487">
        <v>18</v>
      </c>
      <c r="O2066" s="487" t="s">
        <v>2536</v>
      </c>
      <c r="P2066" s="484" t="s">
        <v>1554</v>
      </c>
      <c r="Q2066" s="458"/>
      <c r="R2066" s="459"/>
    </row>
    <row r="2067" spans="1:18" ht="84">
      <c r="A2067" s="493"/>
      <c r="B2067" s="387">
        <v>46181</v>
      </c>
      <c r="C2067" s="388">
        <v>46143</v>
      </c>
      <c r="D2067" s="495" t="s">
        <v>248</v>
      </c>
      <c r="E2067" s="484" t="s">
        <v>1550</v>
      </c>
      <c r="F2067" s="498">
        <v>59.64</v>
      </c>
      <c r="G2067" s="486" t="s">
        <v>2927</v>
      </c>
      <c r="H2067" s="389" t="s">
        <v>736</v>
      </c>
      <c r="I2067" s="484" t="s">
        <v>635</v>
      </c>
      <c r="J2067" s="487" t="s">
        <v>636</v>
      </c>
      <c r="K2067" s="183"/>
      <c r="L2067" s="183"/>
      <c r="M2067" s="484" t="s">
        <v>712</v>
      </c>
      <c r="N2067" s="487">
        <v>2363</v>
      </c>
      <c r="O2067" s="487" t="s">
        <v>2535</v>
      </c>
      <c r="P2067" s="484" t="s">
        <v>1554</v>
      </c>
      <c r="Q2067" s="458"/>
      <c r="R2067" s="459"/>
    </row>
    <row r="2068" spans="1:18" ht="60">
      <c r="A2068" s="493"/>
      <c r="B2068" s="387">
        <v>46181</v>
      </c>
      <c r="C2068" s="388">
        <v>46143</v>
      </c>
      <c r="D2068" s="495" t="s">
        <v>248</v>
      </c>
      <c r="E2068" s="484" t="s">
        <v>2676</v>
      </c>
      <c r="F2068" s="498">
        <v>120.3</v>
      </c>
      <c r="G2068" s="486" t="s">
        <v>2928</v>
      </c>
      <c r="H2068" s="462" t="s">
        <v>736</v>
      </c>
      <c r="I2068" s="484" t="s">
        <v>635</v>
      </c>
      <c r="J2068" s="487" t="s">
        <v>636</v>
      </c>
      <c r="K2068" s="183"/>
      <c r="L2068" s="183"/>
      <c r="M2068" s="484" t="s">
        <v>712</v>
      </c>
      <c r="N2068" s="487">
        <v>25</v>
      </c>
      <c r="O2068" s="487" t="s">
        <v>2539</v>
      </c>
      <c r="P2068" s="484" t="s">
        <v>1554</v>
      </c>
      <c r="Q2068" s="458"/>
      <c r="R2068" s="459"/>
    </row>
    <row r="2069" spans="1:18" ht="48">
      <c r="A2069" s="493"/>
      <c r="B2069" s="387">
        <v>46181</v>
      </c>
      <c r="C2069" s="388">
        <v>46143</v>
      </c>
      <c r="D2069" s="495" t="s">
        <v>248</v>
      </c>
      <c r="E2069" s="484" t="s">
        <v>592</v>
      </c>
      <c r="F2069" s="498">
        <v>32.58</v>
      </c>
      <c r="G2069" s="486" t="s">
        <v>3585</v>
      </c>
      <c r="H2069" s="462" t="s">
        <v>737</v>
      </c>
      <c r="I2069" s="484" t="s">
        <v>635</v>
      </c>
      <c r="J2069" s="487" t="s">
        <v>636</v>
      </c>
      <c r="K2069" s="183"/>
      <c r="L2069" s="183"/>
      <c r="M2069" s="484" t="s">
        <v>712</v>
      </c>
      <c r="N2069" s="487">
        <v>542</v>
      </c>
      <c r="O2069" s="487" t="s">
        <v>2540</v>
      </c>
      <c r="P2069" s="484" t="s">
        <v>1554</v>
      </c>
      <c r="Q2069" s="458"/>
      <c r="R2069" s="459"/>
    </row>
    <row r="2070" spans="1:18" ht="36">
      <c r="A2070" s="493"/>
      <c r="B2070" s="387">
        <v>46181</v>
      </c>
      <c r="C2070" s="388">
        <v>46143</v>
      </c>
      <c r="D2070" s="495" t="s">
        <v>248</v>
      </c>
      <c r="E2070" s="484" t="s">
        <v>2675</v>
      </c>
      <c r="F2070" s="498">
        <v>28.32</v>
      </c>
      <c r="G2070" s="486" t="s">
        <v>2929</v>
      </c>
      <c r="H2070" s="462" t="s">
        <v>736</v>
      </c>
      <c r="I2070" s="484" t="s">
        <v>635</v>
      </c>
      <c r="J2070" s="487" t="s">
        <v>636</v>
      </c>
      <c r="K2070" s="183"/>
      <c r="L2070" s="183"/>
      <c r="M2070" s="484" t="s">
        <v>712</v>
      </c>
      <c r="N2070" s="487">
        <v>16</v>
      </c>
      <c r="O2070" s="487" t="s">
        <v>2539</v>
      </c>
      <c r="P2070" s="484" t="s">
        <v>1554</v>
      </c>
      <c r="Q2070" s="458"/>
      <c r="R2070" s="459"/>
    </row>
    <row r="2071" spans="1:18" ht="84">
      <c r="A2071" s="493"/>
      <c r="B2071" s="387">
        <v>46181</v>
      </c>
      <c r="C2071" s="388">
        <v>46143</v>
      </c>
      <c r="D2071" s="495" t="s">
        <v>248</v>
      </c>
      <c r="E2071" s="484" t="s">
        <v>1550</v>
      </c>
      <c r="F2071" s="498">
        <v>59.64</v>
      </c>
      <c r="G2071" s="486" t="s">
        <v>2932</v>
      </c>
      <c r="H2071" s="389" t="s">
        <v>736</v>
      </c>
      <c r="I2071" s="484" t="s">
        <v>635</v>
      </c>
      <c r="J2071" s="487" t="s">
        <v>636</v>
      </c>
      <c r="K2071" s="183"/>
      <c r="L2071" s="183"/>
      <c r="M2071" s="484" t="s">
        <v>712</v>
      </c>
      <c r="N2071" s="487">
        <v>2397</v>
      </c>
      <c r="O2071" s="487" t="s">
        <v>2536</v>
      </c>
      <c r="P2071" s="484" t="s">
        <v>1554</v>
      </c>
      <c r="Q2071" s="458"/>
      <c r="R2071" s="459"/>
    </row>
    <row r="2072" spans="1:18" ht="36">
      <c r="A2072" s="493"/>
      <c r="B2072" s="387">
        <v>46181</v>
      </c>
      <c r="C2072" s="388">
        <v>46143</v>
      </c>
      <c r="D2072" s="495" t="s">
        <v>248</v>
      </c>
      <c r="E2072" s="484" t="s">
        <v>1211</v>
      </c>
      <c r="F2072" s="498">
        <v>425</v>
      </c>
      <c r="G2072" s="486" t="s">
        <v>2933</v>
      </c>
      <c r="H2072" s="389" t="s">
        <v>278</v>
      </c>
      <c r="I2072" s="484" t="s">
        <v>635</v>
      </c>
      <c r="J2072" s="487" t="s">
        <v>636</v>
      </c>
      <c r="K2072" s="183"/>
      <c r="L2072" s="183"/>
      <c r="M2072" s="484" t="s">
        <v>712</v>
      </c>
      <c r="N2072" s="487">
        <v>22</v>
      </c>
      <c r="O2072" s="487" t="s">
        <v>2553</v>
      </c>
      <c r="P2072" s="484" t="s">
        <v>1554</v>
      </c>
      <c r="Q2072" s="458"/>
      <c r="R2072" s="459"/>
    </row>
    <row r="2073" spans="1:18" ht="48">
      <c r="A2073" s="493"/>
      <c r="B2073" s="387">
        <v>46181</v>
      </c>
      <c r="C2073" s="388">
        <v>46143</v>
      </c>
      <c r="D2073" s="495" t="s">
        <v>248</v>
      </c>
      <c r="E2073" s="484" t="s">
        <v>593</v>
      </c>
      <c r="F2073" s="498">
        <v>3275.06</v>
      </c>
      <c r="G2073" s="486" t="s">
        <v>2726</v>
      </c>
      <c r="H2073" s="389" t="s">
        <v>736</v>
      </c>
      <c r="I2073" s="484" t="s">
        <v>635</v>
      </c>
      <c r="J2073" s="487" t="s">
        <v>636</v>
      </c>
      <c r="K2073" s="183"/>
      <c r="L2073" s="183"/>
      <c r="M2073" s="484" t="s">
        <v>712</v>
      </c>
      <c r="N2073" s="487">
        <v>4</v>
      </c>
      <c r="O2073" s="487" t="s">
        <v>2527</v>
      </c>
      <c r="P2073" s="484" t="s">
        <v>1554</v>
      </c>
      <c r="Q2073" s="458"/>
      <c r="R2073" s="459"/>
    </row>
    <row r="2074" spans="1:18" ht="72">
      <c r="A2074" s="493"/>
      <c r="B2074" s="387">
        <v>46181</v>
      </c>
      <c r="C2074" s="388">
        <v>46143</v>
      </c>
      <c r="D2074" s="495" t="s">
        <v>248</v>
      </c>
      <c r="E2074" s="484" t="s">
        <v>1550</v>
      </c>
      <c r="F2074" s="498">
        <v>103.95</v>
      </c>
      <c r="G2074" s="486" t="s">
        <v>2815</v>
      </c>
      <c r="H2074" s="389" t="s">
        <v>736</v>
      </c>
      <c r="I2074" s="484" t="s">
        <v>635</v>
      </c>
      <c r="J2074" s="487" t="s">
        <v>636</v>
      </c>
      <c r="K2074" s="183"/>
      <c r="L2074" s="183"/>
      <c r="M2074" s="484" t="s">
        <v>712</v>
      </c>
      <c r="N2074" s="487">
        <v>5062</v>
      </c>
      <c r="O2074" s="487" t="s">
        <v>2527</v>
      </c>
      <c r="P2074" s="484" t="s">
        <v>1554</v>
      </c>
      <c r="Q2074" s="458"/>
      <c r="R2074" s="459"/>
    </row>
    <row r="2075" spans="1:18" ht="72">
      <c r="A2075" s="493"/>
      <c r="B2075" s="387">
        <v>46181</v>
      </c>
      <c r="C2075" s="388">
        <v>46143</v>
      </c>
      <c r="D2075" s="495" t="s">
        <v>248</v>
      </c>
      <c r="E2075" s="484" t="s">
        <v>1550</v>
      </c>
      <c r="F2075" s="498">
        <v>122.85</v>
      </c>
      <c r="G2075" s="486" t="s">
        <v>2815</v>
      </c>
      <c r="H2075" s="389" t="s">
        <v>736</v>
      </c>
      <c r="I2075" s="484" t="s">
        <v>635</v>
      </c>
      <c r="J2075" s="487" t="s">
        <v>636</v>
      </c>
      <c r="K2075" s="183"/>
      <c r="L2075" s="183"/>
      <c r="M2075" s="484" t="s">
        <v>712</v>
      </c>
      <c r="N2075" s="487">
        <v>5059</v>
      </c>
      <c r="O2075" s="487" t="s">
        <v>2527</v>
      </c>
      <c r="P2075" s="484" t="s">
        <v>1554</v>
      </c>
      <c r="Q2075" s="458"/>
      <c r="R2075" s="459"/>
    </row>
    <row r="2076" spans="1:18" ht="48">
      <c r="A2076" s="493"/>
      <c r="B2076" s="387">
        <v>46181</v>
      </c>
      <c r="C2076" s="388">
        <v>46143</v>
      </c>
      <c r="D2076" s="495" t="s">
        <v>248</v>
      </c>
      <c r="E2076" s="60" t="s">
        <v>171</v>
      </c>
      <c r="F2076" s="498">
        <v>120.07</v>
      </c>
      <c r="G2076" s="486" t="s">
        <v>1655</v>
      </c>
      <c r="H2076" s="389" t="s">
        <v>278</v>
      </c>
      <c r="I2076" s="484" t="s">
        <v>635</v>
      </c>
      <c r="J2076" s="487" t="s">
        <v>636</v>
      </c>
      <c r="K2076" s="183"/>
      <c r="L2076" s="183"/>
      <c r="M2076" s="484" t="s">
        <v>712</v>
      </c>
      <c r="N2076" s="487">
        <v>47</v>
      </c>
      <c r="O2076" s="487" t="s">
        <v>2537</v>
      </c>
      <c r="P2076" s="484" t="s">
        <v>1554</v>
      </c>
      <c r="Q2076" s="458"/>
      <c r="R2076" s="459"/>
    </row>
    <row r="2077" spans="1:18" ht="36">
      <c r="A2077" s="493"/>
      <c r="B2077" s="387">
        <v>46181</v>
      </c>
      <c r="C2077" s="388">
        <v>46143</v>
      </c>
      <c r="D2077" s="495" t="s">
        <v>248</v>
      </c>
      <c r="E2077" s="484" t="s">
        <v>591</v>
      </c>
      <c r="F2077" s="498">
        <v>3.3</v>
      </c>
      <c r="G2077" s="486" t="s">
        <v>2320</v>
      </c>
      <c r="H2077" s="389" t="s">
        <v>736</v>
      </c>
      <c r="I2077" s="484" t="s">
        <v>635</v>
      </c>
      <c r="J2077" s="487" t="s">
        <v>636</v>
      </c>
      <c r="K2077" s="183"/>
      <c r="L2077" s="183"/>
      <c r="M2077" s="484" t="s">
        <v>712</v>
      </c>
      <c r="N2077" s="487">
        <v>299</v>
      </c>
      <c r="O2077" s="487" t="s">
        <v>2535</v>
      </c>
      <c r="P2077" s="484" t="s">
        <v>1553</v>
      </c>
      <c r="Q2077" s="458"/>
      <c r="R2077" s="459"/>
    </row>
    <row r="2078" spans="1:18" ht="36">
      <c r="A2078" s="493"/>
      <c r="B2078" s="387">
        <v>46181</v>
      </c>
      <c r="C2078" s="388">
        <v>46143</v>
      </c>
      <c r="D2078" s="484" t="s">
        <v>166</v>
      </c>
      <c r="E2078" s="484" t="s">
        <v>584</v>
      </c>
      <c r="F2078" s="498">
        <v>0.12</v>
      </c>
      <c r="G2078" s="486" t="s">
        <v>3586</v>
      </c>
      <c r="H2078" s="389" t="s">
        <v>166</v>
      </c>
      <c r="I2078" s="484" t="s">
        <v>635</v>
      </c>
      <c r="J2078" s="487" t="s">
        <v>636</v>
      </c>
      <c r="K2078" s="183"/>
      <c r="L2078" s="183"/>
      <c r="M2078" s="484" t="s">
        <v>712</v>
      </c>
      <c r="N2078" s="487">
        <v>151476</v>
      </c>
      <c r="O2078" s="487" t="s">
        <v>2532</v>
      </c>
      <c r="P2078" s="484" t="s">
        <v>1555</v>
      </c>
      <c r="Q2078" s="458"/>
      <c r="R2078" s="459"/>
    </row>
    <row r="2079" spans="1:18" ht="36">
      <c r="A2079" s="493"/>
      <c r="B2079" s="387">
        <v>46181</v>
      </c>
      <c r="C2079" s="388">
        <v>46143</v>
      </c>
      <c r="D2079" s="484" t="s">
        <v>166</v>
      </c>
      <c r="E2079" s="484" t="s">
        <v>584</v>
      </c>
      <c r="F2079" s="498">
        <v>0.05</v>
      </c>
      <c r="G2079" s="486" t="s">
        <v>3587</v>
      </c>
      <c r="H2079" s="389" t="s">
        <v>166</v>
      </c>
      <c r="I2079" s="484" t="s">
        <v>635</v>
      </c>
      <c r="J2079" s="487" t="s">
        <v>636</v>
      </c>
      <c r="K2079" s="183"/>
      <c r="L2079" s="183"/>
      <c r="M2079" s="484" t="s">
        <v>712</v>
      </c>
      <c r="N2079" s="487">
        <v>156609</v>
      </c>
      <c r="O2079" s="487" t="s">
        <v>2538</v>
      </c>
      <c r="P2079" s="484" t="s">
        <v>1555</v>
      </c>
      <c r="Q2079" s="458"/>
      <c r="R2079" s="459"/>
    </row>
    <row r="2080" spans="1:18" ht="60">
      <c r="A2080" s="493"/>
      <c r="B2080" s="387">
        <v>46181</v>
      </c>
      <c r="C2080" s="388">
        <v>46143</v>
      </c>
      <c r="D2080" s="495" t="s">
        <v>248</v>
      </c>
      <c r="E2080" s="484" t="s">
        <v>592</v>
      </c>
      <c r="F2080" s="498">
        <v>71.23</v>
      </c>
      <c r="G2080" s="486" t="s">
        <v>2818</v>
      </c>
      <c r="H2080" s="462" t="s">
        <v>737</v>
      </c>
      <c r="I2080" s="484" t="s">
        <v>635</v>
      </c>
      <c r="J2080" s="487" t="s">
        <v>636</v>
      </c>
      <c r="K2080" s="183"/>
      <c r="L2080" s="183"/>
      <c r="M2080" s="484" t="s">
        <v>712</v>
      </c>
      <c r="N2080" s="487">
        <v>389</v>
      </c>
      <c r="O2080" s="487" t="s">
        <v>2527</v>
      </c>
      <c r="P2080" s="484" t="s">
        <v>1553</v>
      </c>
      <c r="Q2080" s="458"/>
      <c r="R2080" s="459"/>
    </row>
    <row r="2081" spans="1:18" ht="48">
      <c r="A2081" s="493"/>
      <c r="B2081" s="387">
        <v>46181</v>
      </c>
      <c r="C2081" s="388">
        <v>46143</v>
      </c>
      <c r="D2081" s="495" t="s">
        <v>248</v>
      </c>
      <c r="E2081" s="484" t="s">
        <v>592</v>
      </c>
      <c r="F2081" s="498">
        <v>73.02</v>
      </c>
      <c r="G2081" s="486" t="s">
        <v>3535</v>
      </c>
      <c r="H2081" s="462" t="s">
        <v>736</v>
      </c>
      <c r="I2081" s="484" t="s">
        <v>635</v>
      </c>
      <c r="J2081" s="487" t="s">
        <v>636</v>
      </c>
      <c r="K2081" s="183"/>
      <c r="L2081" s="183"/>
      <c r="M2081" s="484" t="s">
        <v>712</v>
      </c>
      <c r="N2081" s="487">
        <v>776</v>
      </c>
      <c r="O2081" s="487" t="s">
        <v>2541</v>
      </c>
      <c r="P2081" s="484" t="s">
        <v>1554</v>
      </c>
      <c r="Q2081" s="458"/>
      <c r="R2081" s="459"/>
    </row>
    <row r="2082" spans="1:18" ht="48">
      <c r="A2082" s="493"/>
      <c r="B2082" s="387">
        <v>46181</v>
      </c>
      <c r="C2082" s="388">
        <v>46143</v>
      </c>
      <c r="D2082" s="495" t="s">
        <v>248</v>
      </c>
      <c r="E2082" s="484" t="s">
        <v>1552</v>
      </c>
      <c r="F2082" s="498">
        <v>1633.5</v>
      </c>
      <c r="G2082" s="486" t="s">
        <v>2870</v>
      </c>
      <c r="H2082" s="389" t="s">
        <v>736</v>
      </c>
      <c r="I2082" s="484" t="s">
        <v>635</v>
      </c>
      <c r="J2082" s="487" t="s">
        <v>636</v>
      </c>
      <c r="K2082" s="183"/>
      <c r="L2082" s="183"/>
      <c r="M2082" s="484" t="s">
        <v>712</v>
      </c>
      <c r="N2082" s="487">
        <v>9</v>
      </c>
      <c r="O2082" s="487" t="s">
        <v>2531</v>
      </c>
      <c r="P2082" s="484" t="s">
        <v>1553</v>
      </c>
      <c r="Q2082" s="458"/>
      <c r="R2082" s="459"/>
    </row>
    <row r="2083" spans="1:18" ht="36">
      <c r="A2083" s="493"/>
      <c r="B2083" s="387">
        <v>46181</v>
      </c>
      <c r="C2083" s="388">
        <v>46143</v>
      </c>
      <c r="D2083" s="495" t="s">
        <v>248</v>
      </c>
      <c r="E2083" s="484" t="s">
        <v>595</v>
      </c>
      <c r="F2083" s="498">
        <v>13.25</v>
      </c>
      <c r="G2083" s="486" t="s">
        <v>2822</v>
      </c>
      <c r="H2083" s="462"/>
      <c r="I2083" s="484" t="s">
        <v>635</v>
      </c>
      <c r="J2083" s="487" t="s">
        <v>636</v>
      </c>
      <c r="K2083" s="183"/>
      <c r="L2083" s="183"/>
      <c r="M2083" s="484" t="s">
        <v>712</v>
      </c>
      <c r="N2083" s="487">
        <v>1021</v>
      </c>
      <c r="O2083" s="487" t="s">
        <v>2527</v>
      </c>
      <c r="P2083" s="484" t="s">
        <v>1553</v>
      </c>
      <c r="Q2083" s="458"/>
      <c r="R2083" s="459"/>
    </row>
    <row r="2084" spans="1:18" ht="36">
      <c r="A2084" s="493"/>
      <c r="B2084" s="387">
        <v>46181</v>
      </c>
      <c r="C2084" s="388">
        <v>46143</v>
      </c>
      <c r="D2084" s="484" t="s">
        <v>166</v>
      </c>
      <c r="E2084" s="484" t="s">
        <v>603</v>
      </c>
      <c r="F2084" s="498">
        <v>1052.97</v>
      </c>
      <c r="G2084" s="486" t="s">
        <v>3588</v>
      </c>
      <c r="H2084" s="389" t="s">
        <v>166</v>
      </c>
      <c r="I2084" s="484" t="s">
        <v>635</v>
      </c>
      <c r="J2084" s="487" t="s">
        <v>636</v>
      </c>
      <c r="K2084" s="183"/>
      <c r="L2084" s="183"/>
      <c r="M2084" s="484" t="s">
        <v>712</v>
      </c>
      <c r="N2084" s="487">
        <v>778050</v>
      </c>
      <c r="O2084" s="487" t="s">
        <v>2532</v>
      </c>
      <c r="P2084" s="484" t="s">
        <v>1555</v>
      </c>
      <c r="Q2084" s="458"/>
      <c r="R2084" s="459"/>
    </row>
    <row r="2085" spans="1:18" ht="36">
      <c r="A2085" s="493"/>
      <c r="B2085" s="387">
        <v>46181</v>
      </c>
      <c r="C2085" s="388">
        <v>46143</v>
      </c>
      <c r="D2085" s="495" t="s">
        <v>248</v>
      </c>
      <c r="E2085" s="484" t="s">
        <v>592</v>
      </c>
      <c r="F2085" s="498">
        <v>1.64</v>
      </c>
      <c r="G2085" s="486" t="s">
        <v>3589</v>
      </c>
      <c r="H2085" s="462" t="s">
        <v>278</v>
      </c>
      <c r="I2085" s="484" t="s">
        <v>635</v>
      </c>
      <c r="J2085" s="487" t="s">
        <v>636</v>
      </c>
      <c r="K2085" s="183"/>
      <c r="L2085" s="183"/>
      <c r="M2085" s="484" t="s">
        <v>712</v>
      </c>
      <c r="N2085" s="487">
        <v>246</v>
      </c>
      <c r="O2085" s="487" t="s">
        <v>2541</v>
      </c>
      <c r="P2085" s="484" t="s">
        <v>1553</v>
      </c>
      <c r="Q2085" s="458"/>
      <c r="R2085" s="459"/>
    </row>
    <row r="2086" spans="1:18" ht="60">
      <c r="A2086" s="493"/>
      <c r="B2086" s="387">
        <v>46181</v>
      </c>
      <c r="C2086" s="388">
        <v>46174</v>
      </c>
      <c r="D2086" s="495" t="s">
        <v>248</v>
      </c>
      <c r="E2086" s="59" t="s">
        <v>169</v>
      </c>
      <c r="F2086" s="498">
        <v>4590</v>
      </c>
      <c r="G2086" s="486" t="s">
        <v>3590</v>
      </c>
      <c r="H2086" s="462" t="s">
        <v>278</v>
      </c>
      <c r="I2086" s="484" t="s">
        <v>3385</v>
      </c>
      <c r="J2086" s="487" t="s">
        <v>3386</v>
      </c>
      <c r="K2086" s="183"/>
      <c r="L2086" s="183"/>
      <c r="M2086" s="484" t="s">
        <v>708</v>
      </c>
      <c r="N2086" s="487">
        <v>49958</v>
      </c>
      <c r="O2086" s="487" t="s">
        <v>3485</v>
      </c>
      <c r="P2086" s="484" t="s">
        <v>1553</v>
      </c>
      <c r="Q2086" s="458"/>
      <c r="R2086" s="459"/>
    </row>
    <row r="2087" spans="1:18" ht="36">
      <c r="A2087" s="493"/>
      <c r="B2087" s="387">
        <v>46181</v>
      </c>
      <c r="C2087" s="388">
        <v>46143</v>
      </c>
      <c r="D2087" s="495" t="s">
        <v>248</v>
      </c>
      <c r="E2087" s="484" t="s">
        <v>599</v>
      </c>
      <c r="F2087" s="498">
        <v>77.540000000000006</v>
      </c>
      <c r="G2087" s="486" t="s">
        <v>2714</v>
      </c>
      <c r="H2087" s="389" t="s">
        <v>736</v>
      </c>
      <c r="I2087" s="484" t="s">
        <v>635</v>
      </c>
      <c r="J2087" s="487" t="s">
        <v>636</v>
      </c>
      <c r="K2087" s="183"/>
      <c r="L2087" s="183"/>
      <c r="M2087" s="484" t="s">
        <v>712</v>
      </c>
      <c r="N2087" s="487">
        <v>63</v>
      </c>
      <c r="O2087" s="487" t="s">
        <v>2540</v>
      </c>
      <c r="P2087" s="484" t="s">
        <v>1554</v>
      </c>
      <c r="Q2087" s="458"/>
      <c r="R2087" s="459"/>
    </row>
    <row r="2088" spans="1:18" ht="36">
      <c r="A2088" s="493"/>
      <c r="B2088" s="387">
        <v>46181</v>
      </c>
      <c r="C2088" s="388">
        <v>46143</v>
      </c>
      <c r="D2088" s="495" t="s">
        <v>248</v>
      </c>
      <c r="E2088" s="484" t="s">
        <v>592</v>
      </c>
      <c r="F2088" s="498">
        <v>61.5</v>
      </c>
      <c r="G2088" s="486" t="s">
        <v>3545</v>
      </c>
      <c r="H2088" s="462" t="s">
        <v>737</v>
      </c>
      <c r="I2088" s="484" t="s">
        <v>635</v>
      </c>
      <c r="J2088" s="487" t="s">
        <v>636</v>
      </c>
      <c r="K2088" s="183"/>
      <c r="L2088" s="183"/>
      <c r="M2088" s="484" t="s">
        <v>712</v>
      </c>
      <c r="N2088" s="487">
        <v>777</v>
      </c>
      <c r="O2088" s="487" t="s">
        <v>2541</v>
      </c>
      <c r="P2088" s="484" t="s">
        <v>1554</v>
      </c>
      <c r="Q2088" s="458"/>
      <c r="R2088" s="459"/>
    </row>
    <row r="2089" spans="1:18" ht="36">
      <c r="A2089" s="493"/>
      <c r="B2089" s="387">
        <v>46181</v>
      </c>
      <c r="C2089" s="388">
        <v>46143</v>
      </c>
      <c r="D2089" s="495" t="s">
        <v>248</v>
      </c>
      <c r="E2089" s="484" t="s">
        <v>743</v>
      </c>
      <c r="F2089" s="498">
        <v>248.79</v>
      </c>
      <c r="G2089" s="486" t="s">
        <v>3546</v>
      </c>
      <c r="H2089" s="389" t="s">
        <v>737</v>
      </c>
      <c r="I2089" s="484" t="s">
        <v>635</v>
      </c>
      <c r="J2089" s="487" t="s">
        <v>636</v>
      </c>
      <c r="K2089" s="183"/>
      <c r="L2089" s="183"/>
      <c r="M2089" s="484" t="s">
        <v>712</v>
      </c>
      <c r="N2089" s="487">
        <v>83</v>
      </c>
      <c r="O2089" s="487" t="s">
        <v>2541</v>
      </c>
      <c r="P2089" s="484" t="s">
        <v>1554</v>
      </c>
      <c r="Q2089" s="458"/>
      <c r="R2089" s="459"/>
    </row>
    <row r="2090" spans="1:18" ht="36">
      <c r="A2090" s="493"/>
      <c r="B2090" s="387">
        <v>46181</v>
      </c>
      <c r="C2090" s="388">
        <v>46143</v>
      </c>
      <c r="D2090" s="484" t="s">
        <v>166</v>
      </c>
      <c r="E2090" s="484" t="s">
        <v>584</v>
      </c>
      <c r="F2090" s="498">
        <v>2.36</v>
      </c>
      <c r="G2090" s="486" t="s">
        <v>3547</v>
      </c>
      <c r="H2090" s="389" t="s">
        <v>166</v>
      </c>
      <c r="I2090" s="484" t="s">
        <v>635</v>
      </c>
      <c r="J2090" s="487" t="s">
        <v>636</v>
      </c>
      <c r="K2090" s="183"/>
      <c r="L2090" s="183"/>
      <c r="M2090" s="484" t="s">
        <v>712</v>
      </c>
      <c r="N2090" s="487">
        <v>168037</v>
      </c>
      <c r="O2090" s="487" t="s">
        <v>2545</v>
      </c>
      <c r="P2090" s="484" t="s">
        <v>1555</v>
      </c>
      <c r="Q2090" s="458"/>
      <c r="R2090" s="459"/>
    </row>
    <row r="2091" spans="1:18" ht="36">
      <c r="A2091" s="493"/>
      <c r="B2091" s="387">
        <v>46181</v>
      </c>
      <c r="C2091" s="388">
        <v>46143</v>
      </c>
      <c r="D2091" s="484" t="s">
        <v>166</v>
      </c>
      <c r="E2091" s="484" t="s">
        <v>603</v>
      </c>
      <c r="F2091" s="498">
        <v>100.21</v>
      </c>
      <c r="G2091" s="486" t="s">
        <v>3588</v>
      </c>
      <c r="H2091" s="389" t="s">
        <v>166</v>
      </c>
      <c r="I2091" s="484" t="s">
        <v>635</v>
      </c>
      <c r="J2091" s="487" t="s">
        <v>636</v>
      </c>
      <c r="K2091" s="183"/>
      <c r="L2091" s="183"/>
      <c r="M2091" s="484" t="s">
        <v>712</v>
      </c>
      <c r="N2091" s="487">
        <v>726795</v>
      </c>
      <c r="O2091" s="487" t="s">
        <v>2529</v>
      </c>
      <c r="P2091" s="484" t="s">
        <v>1555</v>
      </c>
      <c r="Q2091" s="458"/>
      <c r="R2091" s="459"/>
    </row>
    <row r="2092" spans="1:18" ht="60">
      <c r="A2092" s="493"/>
      <c r="B2092" s="387">
        <v>46181</v>
      </c>
      <c r="C2092" s="388">
        <v>46143</v>
      </c>
      <c r="D2092" s="495" t="s">
        <v>248</v>
      </c>
      <c r="E2092" s="484" t="s">
        <v>758</v>
      </c>
      <c r="F2092" s="498">
        <v>589.84</v>
      </c>
      <c r="G2092" s="486" t="s">
        <v>2875</v>
      </c>
      <c r="H2092" s="392" t="s">
        <v>738</v>
      </c>
      <c r="I2092" s="484" t="s">
        <v>635</v>
      </c>
      <c r="J2092" s="487" t="s">
        <v>636</v>
      </c>
      <c r="K2092" s="183"/>
      <c r="L2092" s="183"/>
      <c r="M2092" s="484" t="s">
        <v>712</v>
      </c>
      <c r="N2092" s="487">
        <v>335</v>
      </c>
      <c r="O2092" s="487" t="s">
        <v>2538</v>
      </c>
      <c r="P2092" s="484" t="s">
        <v>1554</v>
      </c>
      <c r="Q2092" s="458"/>
      <c r="R2092" s="459"/>
    </row>
    <row r="2093" spans="1:18" ht="96">
      <c r="A2093" s="493"/>
      <c r="B2093" s="387">
        <v>46181</v>
      </c>
      <c r="C2093" s="388">
        <v>46143</v>
      </c>
      <c r="D2093" s="495" t="s">
        <v>248</v>
      </c>
      <c r="E2093" s="60" t="s">
        <v>78</v>
      </c>
      <c r="F2093" s="498">
        <v>11.44</v>
      </c>
      <c r="G2093" s="486" t="s">
        <v>2916</v>
      </c>
      <c r="H2093" s="462" t="s">
        <v>1029</v>
      </c>
      <c r="I2093" s="484" t="s">
        <v>635</v>
      </c>
      <c r="J2093" s="487" t="s">
        <v>636</v>
      </c>
      <c r="K2093" s="183"/>
      <c r="L2093" s="183"/>
      <c r="M2093" s="484" t="s">
        <v>712</v>
      </c>
      <c r="N2093" s="487">
        <v>826</v>
      </c>
      <c r="O2093" s="487" t="s">
        <v>2529</v>
      </c>
      <c r="P2093" s="484" t="s">
        <v>1553</v>
      </c>
      <c r="Q2093" s="458"/>
      <c r="R2093" s="459"/>
    </row>
    <row r="2094" spans="1:18" ht="36">
      <c r="A2094" s="493"/>
      <c r="B2094" s="387">
        <v>46181</v>
      </c>
      <c r="C2094" s="388">
        <v>46143</v>
      </c>
      <c r="D2094" s="495" t="s">
        <v>248</v>
      </c>
      <c r="E2094" s="484" t="s">
        <v>592</v>
      </c>
      <c r="F2094" s="498">
        <v>43.65</v>
      </c>
      <c r="G2094" s="486" t="s">
        <v>2794</v>
      </c>
      <c r="H2094" s="462" t="s">
        <v>737</v>
      </c>
      <c r="I2094" s="484" t="s">
        <v>635</v>
      </c>
      <c r="J2094" s="487" t="s">
        <v>636</v>
      </c>
      <c r="K2094" s="183"/>
      <c r="L2094" s="183"/>
      <c r="M2094" s="484" t="s">
        <v>712</v>
      </c>
      <c r="N2094" s="487">
        <v>775</v>
      </c>
      <c r="O2094" s="487" t="s">
        <v>2541</v>
      </c>
      <c r="P2094" s="484" t="s">
        <v>1554</v>
      </c>
      <c r="Q2094" s="458"/>
      <c r="R2094" s="459"/>
    </row>
    <row r="2095" spans="1:18" ht="36">
      <c r="A2095" s="493"/>
      <c r="B2095" s="387">
        <v>46181</v>
      </c>
      <c r="C2095" s="388">
        <v>46143</v>
      </c>
      <c r="D2095" s="495" t="s">
        <v>248</v>
      </c>
      <c r="E2095" s="484" t="s">
        <v>594</v>
      </c>
      <c r="F2095" s="498">
        <v>425</v>
      </c>
      <c r="G2095" s="486" t="s">
        <v>2939</v>
      </c>
      <c r="H2095" s="462" t="s">
        <v>737</v>
      </c>
      <c r="I2095" s="484" t="s">
        <v>635</v>
      </c>
      <c r="J2095" s="487" t="s">
        <v>636</v>
      </c>
      <c r="K2095" s="183"/>
      <c r="L2095" s="183"/>
      <c r="M2095" s="484" t="s">
        <v>712</v>
      </c>
      <c r="N2095" s="487">
        <v>23</v>
      </c>
      <c r="O2095" s="487" t="s">
        <v>2536</v>
      </c>
      <c r="P2095" s="484" t="s">
        <v>1554</v>
      </c>
      <c r="Q2095" s="458"/>
      <c r="R2095" s="459"/>
    </row>
    <row r="2096" spans="1:18" ht="36">
      <c r="A2096" s="493"/>
      <c r="B2096" s="387">
        <v>46181</v>
      </c>
      <c r="C2096" s="388">
        <v>46143</v>
      </c>
      <c r="D2096" s="484" t="s">
        <v>166</v>
      </c>
      <c r="E2096" s="484" t="s">
        <v>584</v>
      </c>
      <c r="F2096" s="498">
        <v>0.59</v>
      </c>
      <c r="G2096" s="486" t="s">
        <v>3591</v>
      </c>
      <c r="H2096" s="389" t="s">
        <v>166</v>
      </c>
      <c r="I2096" s="484" t="s">
        <v>635</v>
      </c>
      <c r="J2096" s="487" t="s">
        <v>636</v>
      </c>
      <c r="K2096" s="183"/>
      <c r="L2096" s="183"/>
      <c r="M2096" s="484" t="s">
        <v>712</v>
      </c>
      <c r="N2096" s="487">
        <v>148299</v>
      </c>
      <c r="O2096" s="487" t="s">
        <v>2544</v>
      </c>
      <c r="P2096" s="484" t="s">
        <v>1555</v>
      </c>
      <c r="Q2096" s="458"/>
      <c r="R2096" s="459"/>
    </row>
    <row r="2097" spans="1:18" ht="36">
      <c r="A2097" s="493"/>
      <c r="B2097" s="387">
        <v>46181</v>
      </c>
      <c r="C2097" s="388">
        <v>46143</v>
      </c>
      <c r="D2097" s="39" t="s">
        <v>353</v>
      </c>
      <c r="E2097" s="39" t="s">
        <v>153</v>
      </c>
      <c r="F2097" s="498">
        <v>69719.98</v>
      </c>
      <c r="G2097" s="486" t="s">
        <v>3592</v>
      </c>
      <c r="H2097" s="389" t="s">
        <v>280</v>
      </c>
      <c r="I2097" s="484" t="s">
        <v>3387</v>
      </c>
      <c r="J2097" s="487" t="s">
        <v>3388</v>
      </c>
      <c r="K2097" s="183"/>
      <c r="L2097" s="183"/>
      <c r="M2097" s="484" t="s">
        <v>708</v>
      </c>
      <c r="N2097" s="487">
        <v>52026</v>
      </c>
      <c r="O2097" s="487" t="s">
        <v>3486</v>
      </c>
      <c r="P2097" s="484" t="s">
        <v>1553</v>
      </c>
      <c r="Q2097" s="458"/>
      <c r="R2097" s="459"/>
    </row>
    <row r="2098" spans="1:18" ht="60">
      <c r="A2098" s="493"/>
      <c r="B2098" s="387">
        <v>46181</v>
      </c>
      <c r="C2098" s="388">
        <v>46143</v>
      </c>
      <c r="D2098" s="495" t="s">
        <v>248</v>
      </c>
      <c r="E2098" s="484" t="s">
        <v>605</v>
      </c>
      <c r="F2098" s="498">
        <v>37.5</v>
      </c>
      <c r="G2098" s="486" t="s">
        <v>2891</v>
      </c>
      <c r="H2098" s="462" t="s">
        <v>278</v>
      </c>
      <c r="I2098" s="484" t="s">
        <v>635</v>
      </c>
      <c r="J2098" s="487" t="s">
        <v>636</v>
      </c>
      <c r="K2098" s="183"/>
      <c r="L2098" s="183"/>
      <c r="M2098" s="484" t="s">
        <v>712</v>
      </c>
      <c r="N2098" s="487">
        <v>9416</v>
      </c>
      <c r="O2098" s="487" t="s">
        <v>2538</v>
      </c>
      <c r="P2098" s="484" t="s">
        <v>1553</v>
      </c>
      <c r="Q2098" s="458"/>
      <c r="R2098" s="459"/>
    </row>
    <row r="2099" spans="1:18" ht="36">
      <c r="A2099" s="493"/>
      <c r="B2099" s="387">
        <v>46181</v>
      </c>
      <c r="C2099" s="388">
        <v>46174</v>
      </c>
      <c r="D2099" s="495" t="s">
        <v>248</v>
      </c>
      <c r="E2099" s="484" t="s">
        <v>591</v>
      </c>
      <c r="F2099" s="498">
        <v>107.79</v>
      </c>
      <c r="G2099" s="486" t="s">
        <v>2320</v>
      </c>
      <c r="H2099" s="389" t="s">
        <v>736</v>
      </c>
      <c r="I2099" s="484" t="s">
        <v>1495</v>
      </c>
      <c r="J2099" s="487" t="s">
        <v>1496</v>
      </c>
      <c r="K2099" s="183"/>
      <c r="L2099" s="183"/>
      <c r="M2099" s="484" t="s">
        <v>708</v>
      </c>
      <c r="N2099" s="487">
        <v>318</v>
      </c>
      <c r="O2099" s="487" t="s">
        <v>3294</v>
      </c>
      <c r="P2099" s="484" t="s">
        <v>1553</v>
      </c>
      <c r="Q2099" s="458"/>
      <c r="R2099" s="459"/>
    </row>
    <row r="2100" spans="1:18" ht="36">
      <c r="A2100" s="493"/>
      <c r="B2100" s="387">
        <v>46181</v>
      </c>
      <c r="C2100" s="388">
        <v>46143</v>
      </c>
      <c r="D2100" s="39" t="s">
        <v>353</v>
      </c>
      <c r="E2100" s="39" t="s">
        <v>334</v>
      </c>
      <c r="F2100" s="498">
        <v>2953.16</v>
      </c>
      <c r="G2100" s="486" t="s">
        <v>3593</v>
      </c>
      <c r="H2100" s="389" t="s">
        <v>280</v>
      </c>
      <c r="I2100" s="484" t="s">
        <v>645</v>
      </c>
      <c r="J2100" s="487" t="s">
        <v>646</v>
      </c>
      <c r="K2100" s="183"/>
      <c r="L2100" s="183"/>
      <c r="M2100" s="484" t="s">
        <v>707</v>
      </c>
      <c r="N2100" s="487">
        <v>52026</v>
      </c>
      <c r="O2100" s="487" t="s">
        <v>2546</v>
      </c>
      <c r="P2100" s="484" t="s">
        <v>1553</v>
      </c>
      <c r="Q2100" s="458"/>
      <c r="R2100" s="459"/>
    </row>
    <row r="2101" spans="1:18" ht="36">
      <c r="A2101" s="493"/>
      <c r="B2101" s="387">
        <v>46181</v>
      </c>
      <c r="C2101" s="388">
        <v>46143</v>
      </c>
      <c r="D2101" s="495" t="s">
        <v>248</v>
      </c>
      <c r="E2101" s="484" t="s">
        <v>604</v>
      </c>
      <c r="F2101" s="498">
        <v>0.01</v>
      </c>
      <c r="G2101" s="486" t="s">
        <v>3594</v>
      </c>
      <c r="H2101" s="389" t="s">
        <v>1029</v>
      </c>
      <c r="I2101" s="484" t="s">
        <v>635</v>
      </c>
      <c r="J2101" s="487" t="s">
        <v>636</v>
      </c>
      <c r="K2101" s="183"/>
      <c r="L2101" s="183"/>
      <c r="M2101" s="484" t="s">
        <v>712</v>
      </c>
      <c r="N2101" s="487">
        <v>2322844</v>
      </c>
      <c r="O2101" s="487" t="s">
        <v>2529</v>
      </c>
      <c r="P2101" s="484" t="s">
        <v>1554</v>
      </c>
      <c r="Q2101" s="458"/>
      <c r="R2101" s="459"/>
    </row>
    <row r="2102" spans="1:18" ht="36">
      <c r="A2102" s="493"/>
      <c r="B2102" s="387">
        <v>46181</v>
      </c>
      <c r="C2102" s="388">
        <v>46143</v>
      </c>
      <c r="D2102" s="495" t="s">
        <v>248</v>
      </c>
      <c r="E2102" s="484" t="s">
        <v>605</v>
      </c>
      <c r="F2102" s="498">
        <v>17773.13</v>
      </c>
      <c r="G2102" s="486" t="s">
        <v>3595</v>
      </c>
      <c r="H2102" s="462" t="s">
        <v>278</v>
      </c>
      <c r="I2102" s="484" t="s">
        <v>774</v>
      </c>
      <c r="J2102" s="487" t="s">
        <v>775</v>
      </c>
      <c r="K2102" s="183"/>
      <c r="L2102" s="183"/>
      <c r="M2102" s="484" t="s">
        <v>714</v>
      </c>
      <c r="N2102" s="487">
        <v>52026</v>
      </c>
      <c r="O2102" s="487" t="s">
        <v>2546</v>
      </c>
      <c r="P2102" s="484" t="s">
        <v>1553</v>
      </c>
      <c r="Q2102" s="458"/>
      <c r="R2102" s="459"/>
    </row>
    <row r="2103" spans="1:18" ht="24">
      <c r="A2103" s="493"/>
      <c r="B2103" s="387">
        <v>46181</v>
      </c>
      <c r="C2103" s="388">
        <v>46174</v>
      </c>
      <c r="D2103" s="495" t="s">
        <v>248</v>
      </c>
      <c r="E2103" s="484" t="s">
        <v>597</v>
      </c>
      <c r="F2103" s="485">
        <v>17</v>
      </c>
      <c r="G2103" s="486" t="s">
        <v>3596</v>
      </c>
      <c r="H2103" s="462" t="s">
        <v>278</v>
      </c>
      <c r="I2103" s="484" t="s">
        <v>881</v>
      </c>
      <c r="J2103" s="487" t="s">
        <v>773</v>
      </c>
      <c r="K2103" s="183"/>
      <c r="L2103" s="183"/>
      <c r="M2103" s="484" t="s">
        <v>710</v>
      </c>
      <c r="N2103" s="487">
        <v>9833</v>
      </c>
      <c r="O2103" s="487" t="s">
        <v>3295</v>
      </c>
      <c r="P2103" s="484" t="s">
        <v>735</v>
      </c>
      <c r="Q2103" s="458"/>
      <c r="R2103" s="459"/>
    </row>
    <row r="2104" spans="1:18" ht="36">
      <c r="A2104" s="493"/>
      <c r="B2104" s="387">
        <v>46181</v>
      </c>
      <c r="C2104" s="388">
        <v>46143</v>
      </c>
      <c r="D2104" s="484" t="s">
        <v>166</v>
      </c>
      <c r="E2104" s="484" t="s">
        <v>584</v>
      </c>
      <c r="F2104" s="498">
        <v>0.01</v>
      </c>
      <c r="G2104" s="486" t="s">
        <v>3594</v>
      </c>
      <c r="H2104" s="389" t="s">
        <v>166</v>
      </c>
      <c r="I2104" s="484" t="s">
        <v>635</v>
      </c>
      <c r="J2104" s="487" t="s">
        <v>636</v>
      </c>
      <c r="K2104" s="183"/>
      <c r="L2104" s="183"/>
      <c r="M2104" s="484" t="s">
        <v>712</v>
      </c>
      <c r="N2104" s="487">
        <v>151476</v>
      </c>
      <c r="O2104" s="487" t="s">
        <v>2532</v>
      </c>
      <c r="P2104" s="484" t="s">
        <v>1555</v>
      </c>
      <c r="Q2104" s="458"/>
      <c r="R2104" s="459"/>
    </row>
    <row r="2105" spans="1:18" ht="72">
      <c r="A2105" s="493"/>
      <c r="B2105" s="387">
        <v>46182</v>
      </c>
      <c r="C2105" s="388">
        <v>46143</v>
      </c>
      <c r="D2105" s="495" t="s">
        <v>248</v>
      </c>
      <c r="E2105" s="484" t="s">
        <v>757</v>
      </c>
      <c r="F2105" s="498">
        <v>65.650000000000006</v>
      </c>
      <c r="G2105" s="486" t="s">
        <v>2823</v>
      </c>
      <c r="H2105" s="389" t="s">
        <v>736</v>
      </c>
      <c r="I2105" s="484" t="s">
        <v>635</v>
      </c>
      <c r="J2105" s="487" t="s">
        <v>636</v>
      </c>
      <c r="K2105" s="183"/>
      <c r="L2105" s="183"/>
      <c r="M2105" s="484" t="s">
        <v>712</v>
      </c>
      <c r="N2105" s="487">
        <v>1635</v>
      </c>
      <c r="O2105" s="487" t="s">
        <v>2537</v>
      </c>
      <c r="P2105" s="484" t="s">
        <v>1556</v>
      </c>
      <c r="Q2105" s="458"/>
      <c r="R2105" s="459"/>
    </row>
    <row r="2106" spans="1:18" ht="72">
      <c r="A2106" s="493"/>
      <c r="B2106" s="387">
        <v>46182</v>
      </c>
      <c r="C2106" s="388">
        <v>46143</v>
      </c>
      <c r="D2106" s="495" t="s">
        <v>248</v>
      </c>
      <c r="E2106" s="484" t="s">
        <v>757</v>
      </c>
      <c r="F2106" s="498">
        <v>1189.5</v>
      </c>
      <c r="G2106" s="486" t="s">
        <v>2823</v>
      </c>
      <c r="H2106" s="389" t="s">
        <v>736</v>
      </c>
      <c r="I2106" s="484" t="s">
        <v>2628</v>
      </c>
      <c r="J2106" s="487" t="s">
        <v>2629</v>
      </c>
      <c r="K2106" s="183"/>
      <c r="L2106" s="183"/>
      <c r="M2106" s="484" t="s">
        <v>704</v>
      </c>
      <c r="N2106" s="487">
        <v>1635</v>
      </c>
      <c r="O2106" s="487" t="s">
        <v>2537</v>
      </c>
      <c r="P2106" s="484" t="s">
        <v>1556</v>
      </c>
      <c r="Q2106" s="458"/>
      <c r="R2106" s="459"/>
    </row>
    <row r="2107" spans="1:18" ht="48">
      <c r="A2107" s="493"/>
      <c r="B2107" s="387">
        <v>46182</v>
      </c>
      <c r="C2107" s="388">
        <v>46143</v>
      </c>
      <c r="D2107" s="495" t="s">
        <v>248</v>
      </c>
      <c r="E2107" s="484" t="s">
        <v>594</v>
      </c>
      <c r="F2107" s="498">
        <v>1414</v>
      </c>
      <c r="G2107" s="486" t="s">
        <v>3597</v>
      </c>
      <c r="H2107" s="497" t="s">
        <v>736</v>
      </c>
      <c r="I2107" s="484" t="s">
        <v>635</v>
      </c>
      <c r="J2107" s="487" t="s">
        <v>636</v>
      </c>
      <c r="K2107" s="183"/>
      <c r="L2107" s="183"/>
      <c r="M2107" s="484" t="s">
        <v>712</v>
      </c>
      <c r="N2107" s="487">
        <v>25</v>
      </c>
      <c r="O2107" s="487" t="s">
        <v>2541</v>
      </c>
      <c r="P2107" s="484" t="s">
        <v>1556</v>
      </c>
      <c r="Q2107" s="458"/>
      <c r="R2107" s="459"/>
    </row>
    <row r="2108" spans="1:18" ht="48">
      <c r="A2108" s="493"/>
      <c r="B2108" s="387">
        <v>46182</v>
      </c>
      <c r="C2108" s="388">
        <v>46143</v>
      </c>
      <c r="D2108" s="495" t="s">
        <v>248</v>
      </c>
      <c r="E2108" s="484" t="s">
        <v>594</v>
      </c>
      <c r="F2108" s="498">
        <v>26600</v>
      </c>
      <c r="G2108" s="486" t="s">
        <v>3597</v>
      </c>
      <c r="H2108" s="462" t="s">
        <v>736</v>
      </c>
      <c r="I2108" s="484" t="s">
        <v>2135</v>
      </c>
      <c r="J2108" s="487" t="s">
        <v>2136</v>
      </c>
      <c r="K2108" s="183"/>
      <c r="L2108" s="183"/>
      <c r="M2108" s="484" t="s">
        <v>708</v>
      </c>
      <c r="N2108" s="487">
        <v>25</v>
      </c>
      <c r="O2108" s="487" t="s">
        <v>2541</v>
      </c>
      <c r="P2108" s="484" t="s">
        <v>1556</v>
      </c>
      <c r="Q2108" s="458"/>
      <c r="R2108" s="459"/>
    </row>
    <row r="2109" spans="1:18" ht="48">
      <c r="A2109" s="493"/>
      <c r="B2109" s="387">
        <v>46182</v>
      </c>
      <c r="C2109" s="388">
        <v>46143</v>
      </c>
      <c r="D2109" s="495" t="s">
        <v>248</v>
      </c>
      <c r="E2109" s="484" t="s">
        <v>594</v>
      </c>
      <c r="F2109" s="498">
        <v>151.5</v>
      </c>
      <c r="G2109" s="486" t="s">
        <v>3597</v>
      </c>
      <c r="H2109" s="497" t="s">
        <v>736</v>
      </c>
      <c r="I2109" s="484" t="s">
        <v>635</v>
      </c>
      <c r="J2109" s="487" t="s">
        <v>636</v>
      </c>
      <c r="K2109" s="183"/>
      <c r="L2109" s="183"/>
      <c r="M2109" s="484" t="s">
        <v>712</v>
      </c>
      <c r="N2109" s="487">
        <v>26</v>
      </c>
      <c r="O2109" s="487" t="s">
        <v>2541</v>
      </c>
      <c r="P2109" s="484" t="s">
        <v>1556</v>
      </c>
      <c r="Q2109" s="458"/>
      <c r="R2109" s="459"/>
    </row>
    <row r="2110" spans="1:18" ht="48">
      <c r="A2110" s="493"/>
      <c r="B2110" s="387">
        <v>46182</v>
      </c>
      <c r="C2110" s="388">
        <v>46143</v>
      </c>
      <c r="D2110" s="495" t="s">
        <v>248</v>
      </c>
      <c r="E2110" s="484" t="s">
        <v>594</v>
      </c>
      <c r="F2110" s="498">
        <v>2850</v>
      </c>
      <c r="G2110" s="486" t="s">
        <v>3597</v>
      </c>
      <c r="H2110" s="462" t="s">
        <v>736</v>
      </c>
      <c r="I2110" s="484" t="s">
        <v>2135</v>
      </c>
      <c r="J2110" s="487" t="s">
        <v>2136</v>
      </c>
      <c r="K2110" s="183"/>
      <c r="L2110" s="183"/>
      <c r="M2110" s="484" t="s">
        <v>708</v>
      </c>
      <c r="N2110" s="487">
        <v>26</v>
      </c>
      <c r="O2110" s="487" t="s">
        <v>2541</v>
      </c>
      <c r="P2110" s="484" t="s">
        <v>1556</v>
      </c>
      <c r="Q2110" s="458"/>
      <c r="R2110" s="459"/>
    </row>
    <row r="2111" spans="1:18" ht="84">
      <c r="A2111" s="493"/>
      <c r="B2111" s="387">
        <v>46182</v>
      </c>
      <c r="C2111" s="388">
        <v>46143</v>
      </c>
      <c r="D2111" s="495" t="s">
        <v>248</v>
      </c>
      <c r="E2111" s="484" t="s">
        <v>2675</v>
      </c>
      <c r="F2111" s="498">
        <v>202.01009999999999</v>
      </c>
      <c r="G2111" s="486" t="s">
        <v>2853</v>
      </c>
      <c r="H2111" s="497" t="s">
        <v>736</v>
      </c>
      <c r="I2111" s="484" t="s">
        <v>635</v>
      </c>
      <c r="J2111" s="487" t="s">
        <v>636</v>
      </c>
      <c r="K2111" s="183"/>
      <c r="L2111" s="183"/>
      <c r="M2111" s="484" t="s">
        <v>712</v>
      </c>
      <c r="N2111" s="487">
        <v>17</v>
      </c>
      <c r="O2111" s="487" t="s">
        <v>2541</v>
      </c>
      <c r="P2111" s="484" t="s">
        <v>1556</v>
      </c>
      <c r="Q2111" s="458"/>
      <c r="R2111" s="459"/>
    </row>
    <row r="2112" spans="1:18" ht="84">
      <c r="A2112" s="493"/>
      <c r="B2112" s="387">
        <v>46182</v>
      </c>
      <c r="C2112" s="388">
        <v>46143</v>
      </c>
      <c r="D2112" s="495" t="s">
        <v>248</v>
      </c>
      <c r="E2112" s="484" t="s">
        <v>2675</v>
      </c>
      <c r="F2112" s="498">
        <v>5449.99</v>
      </c>
      <c r="G2112" s="486" t="s">
        <v>2853</v>
      </c>
      <c r="H2112" s="462" t="s">
        <v>736</v>
      </c>
      <c r="I2112" s="484" t="s">
        <v>2636</v>
      </c>
      <c r="J2112" s="487" t="s">
        <v>2637</v>
      </c>
      <c r="K2112" s="183"/>
      <c r="L2112" s="183"/>
      <c r="M2112" s="484" t="s">
        <v>708</v>
      </c>
      <c r="N2112" s="487">
        <v>17</v>
      </c>
      <c r="O2112" s="487" t="s">
        <v>2541</v>
      </c>
      <c r="P2112" s="484" t="s">
        <v>1556</v>
      </c>
      <c r="Q2112" s="458"/>
      <c r="R2112" s="459"/>
    </row>
    <row r="2113" spans="1:18" ht="36">
      <c r="A2113" s="493"/>
      <c r="B2113" s="387">
        <v>46182</v>
      </c>
      <c r="C2113" s="388">
        <v>46143</v>
      </c>
      <c r="D2113" s="39" t="s">
        <v>353</v>
      </c>
      <c r="E2113" s="39" t="s">
        <v>153</v>
      </c>
      <c r="F2113" s="498">
        <v>5418.21</v>
      </c>
      <c r="G2113" s="486" t="s">
        <v>3598</v>
      </c>
      <c r="H2113" s="389" t="s">
        <v>280</v>
      </c>
      <c r="I2113" s="484" t="s">
        <v>3389</v>
      </c>
      <c r="J2113" s="487" t="s">
        <v>3390</v>
      </c>
      <c r="K2113" s="183"/>
      <c r="L2113" s="183"/>
      <c r="M2113" s="484" t="s">
        <v>708</v>
      </c>
      <c r="N2113" s="487">
        <v>76285</v>
      </c>
      <c r="O2113" s="487" t="s">
        <v>3486</v>
      </c>
      <c r="P2113" s="484" t="s">
        <v>1553</v>
      </c>
      <c r="Q2113" s="458"/>
      <c r="R2113" s="459"/>
    </row>
    <row r="2114" spans="1:18" ht="48">
      <c r="A2114" s="493"/>
      <c r="B2114" s="387">
        <v>46182</v>
      </c>
      <c r="C2114" s="388">
        <v>46174</v>
      </c>
      <c r="D2114" s="495" t="s">
        <v>248</v>
      </c>
      <c r="E2114" s="484" t="s">
        <v>597</v>
      </c>
      <c r="F2114" s="499">
        <v>-374.95</v>
      </c>
      <c r="G2114" s="486" t="s">
        <v>3599</v>
      </c>
      <c r="H2114" s="462" t="s">
        <v>278</v>
      </c>
      <c r="I2114" s="484" t="s">
        <v>1472</v>
      </c>
      <c r="J2114" s="487" t="s">
        <v>1473</v>
      </c>
      <c r="K2114" s="183"/>
      <c r="L2114" s="183"/>
      <c r="M2114" s="484" t="s">
        <v>711</v>
      </c>
      <c r="N2114" s="487">
        <v>241557</v>
      </c>
      <c r="O2114" s="487" t="s">
        <v>3490</v>
      </c>
      <c r="P2114" s="484" t="s">
        <v>1553</v>
      </c>
      <c r="Q2114" s="458"/>
      <c r="R2114" s="459"/>
    </row>
    <row r="2115" spans="1:18" ht="48">
      <c r="A2115" s="493"/>
      <c r="B2115" s="387">
        <v>46183</v>
      </c>
      <c r="C2115" s="388">
        <v>46082</v>
      </c>
      <c r="D2115" s="495" t="s">
        <v>248</v>
      </c>
      <c r="E2115" s="484" t="s">
        <v>604</v>
      </c>
      <c r="F2115" s="526">
        <v>1179.82</v>
      </c>
      <c r="G2115" s="486" t="s">
        <v>3600</v>
      </c>
      <c r="H2115" s="389" t="s">
        <v>1029</v>
      </c>
      <c r="I2115" s="484" t="s">
        <v>3391</v>
      </c>
      <c r="J2115" s="487" t="s">
        <v>683</v>
      </c>
      <c r="K2115" s="183"/>
      <c r="L2115" s="183"/>
      <c r="M2115" s="484" t="s">
        <v>726</v>
      </c>
      <c r="N2115" s="487">
        <v>2276353</v>
      </c>
      <c r="O2115" s="487" t="s">
        <v>1522</v>
      </c>
      <c r="P2115" s="484" t="s">
        <v>1553</v>
      </c>
      <c r="Q2115" s="458"/>
      <c r="R2115" s="459"/>
    </row>
    <row r="2116" spans="1:18" ht="48">
      <c r="A2116" s="493"/>
      <c r="B2116" s="387">
        <v>46183</v>
      </c>
      <c r="C2116" s="388">
        <v>46082</v>
      </c>
      <c r="D2116" s="495" t="s">
        <v>248</v>
      </c>
      <c r="E2116" s="484" t="s">
        <v>605</v>
      </c>
      <c r="F2116" s="526">
        <v>644.69000000000005</v>
      </c>
      <c r="G2116" s="486" t="s">
        <v>3600</v>
      </c>
      <c r="H2116" s="462" t="s">
        <v>278</v>
      </c>
      <c r="I2116" s="484" t="s">
        <v>3391</v>
      </c>
      <c r="J2116" s="487" t="s">
        <v>683</v>
      </c>
      <c r="K2116" s="183"/>
      <c r="L2116" s="183"/>
      <c r="M2116" s="484" t="s">
        <v>726</v>
      </c>
      <c r="N2116" s="487">
        <v>2276353</v>
      </c>
      <c r="O2116" s="487" t="s">
        <v>1522</v>
      </c>
      <c r="P2116" s="484" t="s">
        <v>1553</v>
      </c>
      <c r="Q2116" s="458"/>
      <c r="R2116" s="459"/>
    </row>
    <row r="2117" spans="1:18" ht="48">
      <c r="A2117" s="493"/>
      <c r="B2117" s="387">
        <v>46183</v>
      </c>
      <c r="C2117" s="388">
        <v>46113</v>
      </c>
      <c r="D2117" s="495" t="s">
        <v>248</v>
      </c>
      <c r="E2117" s="484" t="s">
        <v>604</v>
      </c>
      <c r="F2117" s="526">
        <v>65.89</v>
      </c>
      <c r="G2117" s="486" t="s">
        <v>3601</v>
      </c>
      <c r="H2117" s="389" t="s">
        <v>1029</v>
      </c>
      <c r="I2117" s="484" t="s">
        <v>3391</v>
      </c>
      <c r="J2117" s="487" t="s">
        <v>683</v>
      </c>
      <c r="K2117" s="183"/>
      <c r="L2117" s="183"/>
      <c r="M2117" s="484" t="s">
        <v>726</v>
      </c>
      <c r="N2117" s="487">
        <v>2294642</v>
      </c>
      <c r="O2117" s="487" t="s">
        <v>2090</v>
      </c>
      <c r="P2117" s="484" t="s">
        <v>1553</v>
      </c>
      <c r="Q2117" s="458"/>
      <c r="R2117" s="459"/>
    </row>
    <row r="2118" spans="1:18" ht="48">
      <c r="A2118" s="493"/>
      <c r="B2118" s="387">
        <v>46183</v>
      </c>
      <c r="C2118" s="388">
        <v>46113</v>
      </c>
      <c r="D2118" s="495" t="s">
        <v>248</v>
      </c>
      <c r="E2118" s="484" t="s">
        <v>605</v>
      </c>
      <c r="F2118" s="526">
        <v>35.94</v>
      </c>
      <c r="G2118" s="486" t="s">
        <v>3601</v>
      </c>
      <c r="H2118" s="462" t="s">
        <v>278</v>
      </c>
      <c r="I2118" s="484" t="s">
        <v>3391</v>
      </c>
      <c r="J2118" s="487" t="s">
        <v>683</v>
      </c>
      <c r="K2118" s="183"/>
      <c r="L2118" s="183"/>
      <c r="M2118" s="484" t="s">
        <v>726</v>
      </c>
      <c r="N2118" s="487">
        <v>2294642</v>
      </c>
      <c r="O2118" s="487" t="s">
        <v>2090</v>
      </c>
      <c r="P2118" s="484" t="s">
        <v>1553</v>
      </c>
      <c r="Q2118" s="458"/>
      <c r="R2118" s="459"/>
    </row>
    <row r="2119" spans="1:18" ht="48">
      <c r="A2119" s="493"/>
      <c r="B2119" s="387">
        <v>46183</v>
      </c>
      <c r="C2119" s="388">
        <v>46143</v>
      </c>
      <c r="D2119" s="495" t="s">
        <v>248</v>
      </c>
      <c r="E2119" s="484" t="s">
        <v>604</v>
      </c>
      <c r="F2119" s="526">
        <v>1035.75</v>
      </c>
      <c r="G2119" s="486" t="s">
        <v>3602</v>
      </c>
      <c r="H2119" s="389" t="s">
        <v>1029</v>
      </c>
      <c r="I2119" s="484" t="s">
        <v>3391</v>
      </c>
      <c r="J2119" s="487" t="s">
        <v>683</v>
      </c>
      <c r="K2119" s="183"/>
      <c r="L2119" s="183"/>
      <c r="M2119" s="484" t="s">
        <v>726</v>
      </c>
      <c r="N2119" s="487">
        <v>2322064</v>
      </c>
      <c r="O2119" s="487" t="s">
        <v>2528</v>
      </c>
      <c r="P2119" s="484" t="s">
        <v>1553</v>
      </c>
      <c r="Q2119" s="458"/>
      <c r="R2119" s="459"/>
    </row>
    <row r="2120" spans="1:18" ht="84">
      <c r="A2120" s="493"/>
      <c r="B2120" s="387">
        <v>46183</v>
      </c>
      <c r="C2120" s="388">
        <v>46143</v>
      </c>
      <c r="D2120" s="495" t="s">
        <v>248</v>
      </c>
      <c r="E2120" s="60" t="s">
        <v>171</v>
      </c>
      <c r="F2120" s="498">
        <v>1610.83</v>
      </c>
      <c r="G2120" s="486" t="s">
        <v>3603</v>
      </c>
      <c r="H2120" s="389" t="s">
        <v>278</v>
      </c>
      <c r="I2120" s="484" t="s">
        <v>803</v>
      </c>
      <c r="J2120" s="487" t="s">
        <v>804</v>
      </c>
      <c r="K2120" s="183"/>
      <c r="L2120" s="183"/>
      <c r="M2120" s="484" t="s">
        <v>704</v>
      </c>
      <c r="N2120" s="487">
        <v>445510</v>
      </c>
      <c r="O2120" s="487" t="s">
        <v>2534</v>
      </c>
      <c r="P2120" s="484" t="s">
        <v>1553</v>
      </c>
      <c r="Q2120" s="458"/>
      <c r="R2120" s="459"/>
    </row>
    <row r="2121" spans="1:18" ht="84">
      <c r="A2121" s="493"/>
      <c r="B2121" s="387">
        <v>46183</v>
      </c>
      <c r="C2121" s="388">
        <v>46143</v>
      </c>
      <c r="D2121" s="495" t="s">
        <v>248</v>
      </c>
      <c r="E2121" s="60" t="s">
        <v>171</v>
      </c>
      <c r="F2121" s="498">
        <v>555.45000000000005</v>
      </c>
      <c r="G2121" s="486" t="s">
        <v>3603</v>
      </c>
      <c r="H2121" s="389" t="s">
        <v>278</v>
      </c>
      <c r="I2121" s="484" t="s">
        <v>803</v>
      </c>
      <c r="J2121" s="487" t="s">
        <v>804</v>
      </c>
      <c r="K2121" s="183"/>
      <c r="L2121" s="183"/>
      <c r="M2121" s="484" t="s">
        <v>704</v>
      </c>
      <c r="N2121" s="487">
        <v>445509</v>
      </c>
      <c r="O2121" s="487" t="s">
        <v>2534</v>
      </c>
      <c r="P2121" s="484" t="s">
        <v>1553</v>
      </c>
      <c r="Q2121" s="458"/>
      <c r="R2121" s="459"/>
    </row>
    <row r="2122" spans="1:18" ht="36">
      <c r="A2122" s="493"/>
      <c r="B2122" s="387">
        <v>46183</v>
      </c>
      <c r="C2122" s="388">
        <v>46174</v>
      </c>
      <c r="D2122" s="495" t="s">
        <v>248</v>
      </c>
      <c r="E2122" s="60" t="s">
        <v>171</v>
      </c>
      <c r="F2122" s="498">
        <v>599.62</v>
      </c>
      <c r="G2122" s="486" t="s">
        <v>3604</v>
      </c>
      <c r="H2122" s="389" t="s">
        <v>278</v>
      </c>
      <c r="I2122" s="484" t="s">
        <v>651</v>
      </c>
      <c r="J2122" s="487" t="s">
        <v>652</v>
      </c>
      <c r="K2122" s="183"/>
      <c r="L2122" s="183"/>
      <c r="M2122" s="484" t="s">
        <v>704</v>
      </c>
      <c r="N2122" s="487">
        <v>1338</v>
      </c>
      <c r="O2122" s="487" t="s">
        <v>3485</v>
      </c>
      <c r="P2122" s="484" t="s">
        <v>1553</v>
      </c>
      <c r="Q2122" s="458"/>
      <c r="R2122" s="459"/>
    </row>
    <row r="2123" spans="1:18" ht="36">
      <c r="A2123" s="493"/>
      <c r="B2123" s="387">
        <v>46183</v>
      </c>
      <c r="C2123" s="388">
        <v>46143</v>
      </c>
      <c r="D2123" s="495" t="s">
        <v>248</v>
      </c>
      <c r="E2123" s="59" t="s">
        <v>167</v>
      </c>
      <c r="F2123" s="498">
        <v>137.9</v>
      </c>
      <c r="G2123" s="486" t="s">
        <v>3605</v>
      </c>
      <c r="H2123" s="389" t="s">
        <v>278</v>
      </c>
      <c r="I2123" s="484" t="s">
        <v>639</v>
      </c>
      <c r="J2123" s="487" t="s">
        <v>640</v>
      </c>
      <c r="K2123" s="183"/>
      <c r="L2123" s="183"/>
      <c r="M2123" s="484" t="s">
        <v>717</v>
      </c>
      <c r="N2123" s="487">
        <v>9319</v>
      </c>
      <c r="O2123" s="487" t="s">
        <v>2540</v>
      </c>
      <c r="P2123" s="484" t="s">
        <v>1553</v>
      </c>
      <c r="Q2123" s="458"/>
      <c r="R2123" s="459"/>
    </row>
    <row r="2124" spans="1:18" ht="132">
      <c r="A2124" s="493"/>
      <c r="B2124" s="387">
        <v>46183</v>
      </c>
      <c r="C2124" s="388">
        <v>46174</v>
      </c>
      <c r="D2124" s="495" t="s">
        <v>248</v>
      </c>
      <c r="E2124" s="484" t="s">
        <v>582</v>
      </c>
      <c r="F2124" s="498">
        <v>3367.92</v>
      </c>
      <c r="G2124" s="486" t="s">
        <v>2354</v>
      </c>
      <c r="H2124" s="389" t="s">
        <v>737</v>
      </c>
      <c r="I2124" s="484" t="s">
        <v>1450</v>
      </c>
      <c r="J2124" s="487" t="s">
        <v>1451</v>
      </c>
      <c r="K2124" s="183"/>
      <c r="L2124" s="183"/>
      <c r="M2124" s="484" t="s">
        <v>704</v>
      </c>
      <c r="N2124" s="487">
        <v>285630</v>
      </c>
      <c r="O2124" s="487" t="s">
        <v>3489</v>
      </c>
      <c r="P2124" s="484" t="s">
        <v>1553</v>
      </c>
      <c r="Q2124" s="458"/>
      <c r="R2124" s="459"/>
    </row>
    <row r="2125" spans="1:18" ht="36">
      <c r="A2125" s="493"/>
      <c r="B2125" s="387">
        <v>46183</v>
      </c>
      <c r="C2125" s="388">
        <v>46143</v>
      </c>
      <c r="D2125" s="39" t="s">
        <v>353</v>
      </c>
      <c r="E2125" s="39" t="s">
        <v>153</v>
      </c>
      <c r="F2125" s="498">
        <v>274.81</v>
      </c>
      <c r="G2125" s="486" t="s">
        <v>3606</v>
      </c>
      <c r="H2125" s="389" t="s">
        <v>280</v>
      </c>
      <c r="I2125" s="484" t="s">
        <v>3387</v>
      </c>
      <c r="J2125" s="487" t="s">
        <v>3388</v>
      </c>
      <c r="K2125" s="183"/>
      <c r="L2125" s="183"/>
      <c r="M2125" s="484" t="s">
        <v>708</v>
      </c>
      <c r="N2125" s="487">
        <v>52026</v>
      </c>
      <c r="O2125" s="487" t="s">
        <v>3486</v>
      </c>
      <c r="P2125" s="484" t="s">
        <v>1553</v>
      </c>
      <c r="Q2125" s="458"/>
      <c r="R2125" s="459"/>
    </row>
    <row r="2126" spans="1:18" ht="48">
      <c r="A2126" s="493"/>
      <c r="B2126" s="387">
        <v>46183</v>
      </c>
      <c r="C2126" s="388">
        <v>46174</v>
      </c>
      <c r="D2126" s="495" t="s">
        <v>248</v>
      </c>
      <c r="E2126" s="484" t="s">
        <v>1219</v>
      </c>
      <c r="F2126" s="485">
        <v>95</v>
      </c>
      <c r="G2126" s="486" t="s">
        <v>3607</v>
      </c>
      <c r="H2126" s="389" t="s">
        <v>736</v>
      </c>
      <c r="I2126" s="484" t="s">
        <v>881</v>
      </c>
      <c r="J2126" s="487" t="s">
        <v>773</v>
      </c>
      <c r="K2126" s="183"/>
      <c r="L2126" s="183"/>
      <c r="M2126" s="484" t="s">
        <v>710</v>
      </c>
      <c r="N2126" s="487">
        <v>229</v>
      </c>
      <c r="O2126" s="487" t="s">
        <v>3491</v>
      </c>
      <c r="P2126" s="484" t="s">
        <v>735</v>
      </c>
      <c r="Q2126" s="458"/>
      <c r="R2126" s="459"/>
    </row>
    <row r="2127" spans="1:18" ht="36">
      <c r="A2127" s="493"/>
      <c r="B2127" s="387">
        <v>46183</v>
      </c>
      <c r="C2127" s="388">
        <v>46143</v>
      </c>
      <c r="D2127" s="39" t="s">
        <v>353</v>
      </c>
      <c r="E2127" s="39" t="s">
        <v>334</v>
      </c>
      <c r="F2127" s="498">
        <v>100</v>
      </c>
      <c r="G2127" s="486" t="s">
        <v>3608</v>
      </c>
      <c r="H2127" s="389" t="s">
        <v>280</v>
      </c>
      <c r="I2127" s="484" t="s">
        <v>3392</v>
      </c>
      <c r="J2127" s="487" t="s">
        <v>3383</v>
      </c>
      <c r="K2127" s="183"/>
      <c r="L2127" s="183"/>
      <c r="M2127" s="484" t="s">
        <v>719</v>
      </c>
      <c r="N2127" s="487">
        <v>32026</v>
      </c>
      <c r="O2127" s="487" t="s">
        <v>2546</v>
      </c>
      <c r="P2127" s="484" t="s">
        <v>1554</v>
      </c>
      <c r="Q2127" s="458"/>
      <c r="R2127" s="459"/>
    </row>
    <row r="2128" spans="1:18" ht="36">
      <c r="A2128" s="493"/>
      <c r="B2128" s="387">
        <v>46183</v>
      </c>
      <c r="C2128" s="388">
        <v>46174</v>
      </c>
      <c r="D2128" s="39" t="s">
        <v>353</v>
      </c>
      <c r="E2128" s="39" t="s">
        <v>153</v>
      </c>
      <c r="F2128" s="526">
        <v>1304.8499999999999</v>
      </c>
      <c r="G2128" s="486" t="s">
        <v>3609</v>
      </c>
      <c r="H2128" s="389" t="s">
        <v>280</v>
      </c>
      <c r="I2128" s="484" t="s">
        <v>3391</v>
      </c>
      <c r="J2128" s="487" t="s">
        <v>683</v>
      </c>
      <c r="K2128" s="183"/>
      <c r="L2128" s="183"/>
      <c r="M2128" s="484" t="s">
        <v>726</v>
      </c>
      <c r="N2128" s="487">
        <v>10062026</v>
      </c>
      <c r="O2128" s="487" t="s">
        <v>3491</v>
      </c>
      <c r="P2128" s="484" t="s">
        <v>1553</v>
      </c>
      <c r="Q2128" s="458"/>
      <c r="R2128" s="459"/>
    </row>
    <row r="2129" spans="1:18" ht="48">
      <c r="A2129" s="493"/>
      <c r="B2129" s="387">
        <v>46183</v>
      </c>
      <c r="C2129" s="388">
        <v>46174</v>
      </c>
      <c r="D2129" s="495" t="s">
        <v>248</v>
      </c>
      <c r="E2129" s="484" t="s">
        <v>604</v>
      </c>
      <c r="F2129" s="526">
        <v>803.45</v>
      </c>
      <c r="G2129" s="486" t="s">
        <v>3610</v>
      </c>
      <c r="H2129" s="389" t="s">
        <v>1029</v>
      </c>
      <c r="I2129" s="484" t="s">
        <v>3391</v>
      </c>
      <c r="J2129" s="487" t="s">
        <v>683</v>
      </c>
      <c r="K2129" s="183"/>
      <c r="L2129" s="183"/>
      <c r="M2129" s="484" t="s">
        <v>726</v>
      </c>
      <c r="N2129" s="487">
        <v>2342603</v>
      </c>
      <c r="O2129" s="487" t="s">
        <v>3293</v>
      </c>
      <c r="P2129" s="484" t="s">
        <v>1553</v>
      </c>
      <c r="Q2129" s="458"/>
      <c r="R2129" s="459"/>
    </row>
    <row r="2130" spans="1:18" ht="48">
      <c r="A2130" s="493"/>
      <c r="B2130" s="387">
        <v>46183</v>
      </c>
      <c r="C2130" s="388">
        <v>46174</v>
      </c>
      <c r="D2130" s="495" t="s">
        <v>248</v>
      </c>
      <c r="E2130" s="484" t="s">
        <v>604</v>
      </c>
      <c r="F2130" s="526">
        <v>501.4</v>
      </c>
      <c r="G2130" s="486" t="s">
        <v>3610</v>
      </c>
      <c r="H2130" s="389" t="s">
        <v>1029</v>
      </c>
      <c r="I2130" s="484" t="s">
        <v>3391</v>
      </c>
      <c r="J2130" s="487" t="s">
        <v>683</v>
      </c>
      <c r="K2130" s="183"/>
      <c r="L2130" s="183"/>
      <c r="M2130" s="484" t="s">
        <v>726</v>
      </c>
      <c r="N2130" s="487">
        <v>2342603</v>
      </c>
      <c r="O2130" s="487" t="s">
        <v>3293</v>
      </c>
      <c r="P2130" s="484" t="s">
        <v>1553</v>
      </c>
      <c r="Q2130" s="458"/>
      <c r="R2130" s="459"/>
    </row>
    <row r="2131" spans="1:18" ht="36">
      <c r="A2131" s="493"/>
      <c r="B2131" s="387">
        <v>46183</v>
      </c>
      <c r="C2131" s="388">
        <v>46174</v>
      </c>
      <c r="D2131" s="39" t="s">
        <v>353</v>
      </c>
      <c r="E2131" s="39" t="s">
        <v>153</v>
      </c>
      <c r="F2131" s="526">
        <v>1824.51</v>
      </c>
      <c r="G2131" s="486" t="s">
        <v>3609</v>
      </c>
      <c r="H2131" s="389" t="s">
        <v>280</v>
      </c>
      <c r="I2131" s="484" t="s">
        <v>3391</v>
      </c>
      <c r="J2131" s="487" t="s">
        <v>683</v>
      </c>
      <c r="K2131" s="183"/>
      <c r="L2131" s="183"/>
      <c r="M2131" s="484" t="s">
        <v>726</v>
      </c>
      <c r="N2131" s="487">
        <v>10062026</v>
      </c>
      <c r="O2131" s="487" t="s">
        <v>3491</v>
      </c>
      <c r="P2131" s="484" t="s">
        <v>1553</v>
      </c>
      <c r="Q2131" s="458"/>
      <c r="R2131" s="459"/>
    </row>
    <row r="2132" spans="1:18" ht="36">
      <c r="A2132" s="493"/>
      <c r="B2132" s="387">
        <v>46183</v>
      </c>
      <c r="C2132" s="388">
        <v>46174</v>
      </c>
      <c r="D2132" s="39" t="s">
        <v>353</v>
      </c>
      <c r="E2132" s="39" t="s">
        <v>153</v>
      </c>
      <c r="F2132" s="526">
        <v>101.83</v>
      </c>
      <c r="G2132" s="486" t="s">
        <v>3609</v>
      </c>
      <c r="H2132" s="389" t="s">
        <v>280</v>
      </c>
      <c r="I2132" s="484" t="s">
        <v>3391</v>
      </c>
      <c r="J2132" s="487" t="s">
        <v>683</v>
      </c>
      <c r="K2132" s="183"/>
      <c r="L2132" s="183"/>
      <c r="M2132" s="484" t="s">
        <v>726</v>
      </c>
      <c r="N2132" s="487">
        <v>10062026</v>
      </c>
      <c r="O2132" s="487" t="s">
        <v>3491</v>
      </c>
      <c r="P2132" s="484" t="s">
        <v>1553</v>
      </c>
      <c r="Q2132" s="458"/>
      <c r="R2132" s="459"/>
    </row>
    <row r="2133" spans="1:18" ht="36">
      <c r="A2133" s="493"/>
      <c r="B2133" s="387">
        <v>46183</v>
      </c>
      <c r="C2133" s="388">
        <v>46174</v>
      </c>
      <c r="D2133" s="39" t="s">
        <v>353</v>
      </c>
      <c r="E2133" s="39" t="s">
        <v>153</v>
      </c>
      <c r="F2133" s="526">
        <v>1035.75</v>
      </c>
      <c r="G2133" s="486" t="s">
        <v>3609</v>
      </c>
      <c r="H2133" s="389" t="s">
        <v>280</v>
      </c>
      <c r="I2133" s="484" t="s">
        <v>3391</v>
      </c>
      <c r="J2133" s="487" t="s">
        <v>683</v>
      </c>
      <c r="K2133" s="183"/>
      <c r="L2133" s="183"/>
      <c r="M2133" s="484" t="s">
        <v>726</v>
      </c>
      <c r="N2133" s="487">
        <v>10062026</v>
      </c>
      <c r="O2133" s="487" t="s">
        <v>3491</v>
      </c>
      <c r="P2133" s="484" t="s">
        <v>1553</v>
      </c>
      <c r="Q2133" s="458"/>
      <c r="R2133" s="459"/>
    </row>
    <row r="2134" spans="1:18" ht="36">
      <c r="A2134" s="493"/>
      <c r="B2134" s="387">
        <v>46183</v>
      </c>
      <c r="C2134" s="388">
        <v>46174</v>
      </c>
      <c r="D2134" s="495" t="s">
        <v>248</v>
      </c>
      <c r="E2134" s="60" t="s">
        <v>605</v>
      </c>
      <c r="F2134" s="485">
        <v>35.28</v>
      </c>
      <c r="G2134" s="486" t="s">
        <v>3611</v>
      </c>
      <c r="H2134" s="462" t="s">
        <v>278</v>
      </c>
      <c r="I2134" s="484" t="s">
        <v>881</v>
      </c>
      <c r="J2134" s="487" t="s">
        <v>773</v>
      </c>
      <c r="K2134" s="183"/>
      <c r="L2134" s="183"/>
      <c r="M2134" s="484" t="s">
        <v>3511</v>
      </c>
      <c r="N2134" s="487">
        <v>217312</v>
      </c>
      <c r="O2134" s="487" t="s">
        <v>3491</v>
      </c>
      <c r="P2134" s="484" t="s">
        <v>735</v>
      </c>
      <c r="Q2134" s="458"/>
      <c r="R2134" s="459"/>
    </row>
    <row r="2135" spans="1:18" ht="36">
      <c r="A2135" s="493"/>
      <c r="B2135" s="387">
        <v>46183</v>
      </c>
      <c r="C2135" s="388">
        <v>46174</v>
      </c>
      <c r="D2135" s="495" t="s">
        <v>248</v>
      </c>
      <c r="E2135" s="484" t="s">
        <v>597</v>
      </c>
      <c r="F2135" s="485">
        <v>50</v>
      </c>
      <c r="G2135" s="486" t="s">
        <v>3612</v>
      </c>
      <c r="H2135" s="462" t="s">
        <v>278</v>
      </c>
      <c r="I2135" s="484" t="s">
        <v>881</v>
      </c>
      <c r="J2135" s="487" t="s">
        <v>773</v>
      </c>
      <c r="K2135" s="183"/>
      <c r="L2135" s="183"/>
      <c r="M2135" s="484" t="s">
        <v>710</v>
      </c>
      <c r="N2135" s="487">
        <v>176263</v>
      </c>
      <c r="O2135" s="487" t="s">
        <v>3491</v>
      </c>
      <c r="P2135" s="484" t="s">
        <v>735</v>
      </c>
      <c r="Q2135" s="458"/>
      <c r="R2135" s="459"/>
    </row>
    <row r="2136" spans="1:18" ht="24">
      <c r="A2136" s="493"/>
      <c r="B2136" s="387">
        <v>46183</v>
      </c>
      <c r="C2136" s="388">
        <v>46143</v>
      </c>
      <c r="D2136" s="484" t="s">
        <v>166</v>
      </c>
      <c r="E2136" s="39" t="s">
        <v>452</v>
      </c>
      <c r="F2136" s="497">
        <v>13130.03</v>
      </c>
      <c r="G2136" s="486" t="s">
        <v>3613</v>
      </c>
      <c r="H2136" s="389" t="s">
        <v>166</v>
      </c>
      <c r="I2136" s="484" t="s">
        <v>3393</v>
      </c>
      <c r="J2136" s="487" t="s">
        <v>3394</v>
      </c>
      <c r="K2136" s="183"/>
      <c r="L2136" s="183"/>
      <c r="M2136" s="484" t="s">
        <v>705</v>
      </c>
      <c r="N2136" s="487">
        <v>375</v>
      </c>
      <c r="O2136" s="487" t="s">
        <v>3486</v>
      </c>
      <c r="P2136" s="484" t="s">
        <v>1557</v>
      </c>
      <c r="Q2136" s="458"/>
      <c r="R2136" s="459"/>
    </row>
    <row r="2137" spans="1:18" ht="24">
      <c r="A2137" s="493"/>
      <c r="B2137" s="387">
        <v>46183</v>
      </c>
      <c r="C2137" s="388">
        <v>46143</v>
      </c>
      <c r="D2137" s="484" t="s">
        <v>166</v>
      </c>
      <c r="E2137" s="39" t="s">
        <v>10</v>
      </c>
      <c r="F2137" s="498">
        <v>3480.65</v>
      </c>
      <c r="G2137" s="486" t="s">
        <v>3614</v>
      </c>
      <c r="H2137" s="389" t="s">
        <v>166</v>
      </c>
      <c r="I2137" s="484" t="s">
        <v>647</v>
      </c>
      <c r="J2137" s="487" t="s">
        <v>648</v>
      </c>
      <c r="K2137" s="183"/>
      <c r="L2137" s="183"/>
      <c r="M2137" s="484" t="s">
        <v>718</v>
      </c>
      <c r="N2137" s="487">
        <v>62026</v>
      </c>
      <c r="O2137" s="487" t="s">
        <v>2546</v>
      </c>
      <c r="P2137" s="484" t="s">
        <v>1557</v>
      </c>
      <c r="Q2137" s="458"/>
      <c r="R2137" s="459"/>
    </row>
    <row r="2138" spans="1:18" ht="36">
      <c r="A2138" s="493"/>
      <c r="B2138" s="387">
        <v>46183</v>
      </c>
      <c r="C2138" s="388">
        <v>46174</v>
      </c>
      <c r="D2138" s="39" t="s">
        <v>353</v>
      </c>
      <c r="E2138" s="484" t="s">
        <v>587</v>
      </c>
      <c r="F2138" s="498">
        <v>55.52</v>
      </c>
      <c r="G2138" s="486" t="s">
        <v>3615</v>
      </c>
      <c r="H2138" s="389" t="s">
        <v>280</v>
      </c>
      <c r="I2138" s="484" t="s">
        <v>2577</v>
      </c>
      <c r="J2138" s="487" t="s">
        <v>2578</v>
      </c>
      <c r="K2138" s="183"/>
      <c r="L2138" s="183"/>
      <c r="M2138" s="484" t="s">
        <v>719</v>
      </c>
      <c r="N2138" s="487">
        <v>62026</v>
      </c>
      <c r="O2138" s="487" t="s">
        <v>3491</v>
      </c>
      <c r="P2138" s="484" t="s">
        <v>1553</v>
      </c>
      <c r="Q2138" s="458"/>
      <c r="R2138" s="459"/>
    </row>
    <row r="2139" spans="1:18" ht="72">
      <c r="A2139" s="493"/>
      <c r="B2139" s="387">
        <v>46184</v>
      </c>
      <c r="C2139" s="388">
        <v>46082</v>
      </c>
      <c r="D2139" s="495" t="s">
        <v>248</v>
      </c>
      <c r="E2139" s="484" t="s">
        <v>607</v>
      </c>
      <c r="F2139" s="498">
        <v>3146</v>
      </c>
      <c r="G2139" s="486" t="s">
        <v>3616</v>
      </c>
      <c r="H2139" s="453" t="s">
        <v>736</v>
      </c>
      <c r="I2139" s="484" t="s">
        <v>3395</v>
      </c>
      <c r="J2139" s="487" t="s">
        <v>3396</v>
      </c>
      <c r="K2139" s="183"/>
      <c r="L2139" s="183"/>
      <c r="M2139" s="484" t="s">
        <v>708</v>
      </c>
      <c r="N2139" s="487">
        <v>74851</v>
      </c>
      <c r="O2139" s="487" t="s">
        <v>1541</v>
      </c>
      <c r="P2139" s="484" t="s">
        <v>1555</v>
      </c>
      <c r="Q2139" s="458"/>
      <c r="R2139" s="459"/>
    </row>
    <row r="2140" spans="1:18" ht="48">
      <c r="A2140" s="493"/>
      <c r="B2140" s="387">
        <v>46184</v>
      </c>
      <c r="C2140" s="388">
        <v>46143</v>
      </c>
      <c r="D2140" s="495" t="s">
        <v>248</v>
      </c>
      <c r="E2140" s="59" t="s">
        <v>150</v>
      </c>
      <c r="F2140" s="498">
        <v>887.58</v>
      </c>
      <c r="G2140" s="486" t="s">
        <v>3617</v>
      </c>
      <c r="H2140" s="389" t="s">
        <v>278</v>
      </c>
      <c r="I2140" s="484" t="s">
        <v>641</v>
      </c>
      <c r="J2140" s="487" t="s">
        <v>642</v>
      </c>
      <c r="K2140" s="183"/>
      <c r="L2140" s="183"/>
      <c r="M2140" s="484" t="s">
        <v>717</v>
      </c>
      <c r="N2140" s="487">
        <v>1136153</v>
      </c>
      <c r="O2140" s="487" t="s">
        <v>3487</v>
      </c>
      <c r="P2140" s="484" t="s">
        <v>1554</v>
      </c>
      <c r="Q2140" s="458"/>
      <c r="R2140" s="459"/>
    </row>
    <row r="2141" spans="1:18" s="439" customFormat="1" ht="24">
      <c r="A2141" s="502"/>
      <c r="B2141" s="503">
        <v>46184</v>
      </c>
      <c r="C2141" s="504">
        <v>46143</v>
      </c>
      <c r="D2141" s="558" t="s">
        <v>248</v>
      </c>
      <c r="E2141" s="513" t="s">
        <v>502</v>
      </c>
      <c r="F2141" s="512">
        <v>16695.03</v>
      </c>
      <c r="G2141" s="507"/>
      <c r="H2141" s="389" t="s">
        <v>1029</v>
      </c>
      <c r="I2141" s="506"/>
      <c r="J2141" s="509"/>
      <c r="K2141" s="510"/>
      <c r="L2141" s="510"/>
      <c r="M2141" s="506"/>
      <c r="N2141" s="509"/>
      <c r="O2141" s="509"/>
      <c r="P2141" s="484" t="s">
        <v>1554</v>
      </c>
      <c r="Q2141" s="505"/>
      <c r="R2141" s="511"/>
    </row>
    <row r="2142" spans="1:18" ht="48">
      <c r="A2142" s="493"/>
      <c r="B2142" s="387">
        <v>46184</v>
      </c>
      <c r="C2142" s="388">
        <v>46143</v>
      </c>
      <c r="D2142" s="495" t="s">
        <v>248</v>
      </c>
      <c r="E2142" s="484" t="s">
        <v>592</v>
      </c>
      <c r="F2142" s="498">
        <v>1053.42</v>
      </c>
      <c r="G2142" s="486" t="s">
        <v>3585</v>
      </c>
      <c r="H2142" s="462" t="s">
        <v>737</v>
      </c>
      <c r="I2142" s="484" t="s">
        <v>3351</v>
      </c>
      <c r="J2142" s="487" t="s">
        <v>3352</v>
      </c>
      <c r="K2142" s="183"/>
      <c r="L2142" s="183"/>
      <c r="M2142" s="484" t="s">
        <v>704</v>
      </c>
      <c r="N2142" s="487">
        <v>542</v>
      </c>
      <c r="O2142" s="487" t="s">
        <v>2540</v>
      </c>
      <c r="P2142" s="484" t="s">
        <v>1554</v>
      </c>
      <c r="Q2142" s="458"/>
      <c r="R2142" s="459"/>
    </row>
    <row r="2143" spans="1:18" s="439" customFormat="1" ht="24">
      <c r="A2143" s="502"/>
      <c r="B2143" s="503">
        <v>46184</v>
      </c>
      <c r="C2143" s="504">
        <v>46174</v>
      </c>
      <c r="D2143" s="558" t="s">
        <v>248</v>
      </c>
      <c r="E2143" s="513" t="s">
        <v>498</v>
      </c>
      <c r="F2143" s="512">
        <v>645.35</v>
      </c>
      <c r="G2143" s="507"/>
      <c r="H2143" s="389" t="s">
        <v>736</v>
      </c>
      <c r="I2143" s="506"/>
      <c r="J2143" s="509"/>
      <c r="K2143" s="510"/>
      <c r="L2143" s="510"/>
      <c r="M2143" s="506"/>
      <c r="N2143" s="509"/>
      <c r="O2143" s="509"/>
      <c r="P2143" s="484" t="s">
        <v>1554</v>
      </c>
      <c r="Q2143" s="505"/>
      <c r="R2143" s="511"/>
    </row>
    <row r="2144" spans="1:18" ht="60">
      <c r="A2144" s="493"/>
      <c r="B2144" s="387">
        <v>46184</v>
      </c>
      <c r="C2144" s="388">
        <v>46174</v>
      </c>
      <c r="D2144" s="495" t="s">
        <v>248</v>
      </c>
      <c r="E2144" s="484" t="s">
        <v>598</v>
      </c>
      <c r="F2144" s="498">
        <v>2800</v>
      </c>
      <c r="G2144" s="486" t="s">
        <v>3618</v>
      </c>
      <c r="H2144" s="389" t="s">
        <v>736</v>
      </c>
      <c r="I2144" s="484" t="s">
        <v>3397</v>
      </c>
      <c r="J2144" s="487" t="s">
        <v>3398</v>
      </c>
      <c r="K2144" s="183"/>
      <c r="L2144" s="183"/>
      <c r="M2144" s="484" t="s">
        <v>707</v>
      </c>
      <c r="N2144" s="487">
        <v>44</v>
      </c>
      <c r="O2144" s="487" t="s">
        <v>3485</v>
      </c>
      <c r="P2144" s="484" t="s">
        <v>1554</v>
      </c>
      <c r="Q2144" s="458"/>
      <c r="R2144" s="459"/>
    </row>
    <row r="2145" spans="1:18" ht="48">
      <c r="A2145" s="493"/>
      <c r="B2145" s="387">
        <v>46184</v>
      </c>
      <c r="C2145" s="388">
        <v>46174</v>
      </c>
      <c r="D2145" s="495" t="s">
        <v>248</v>
      </c>
      <c r="E2145" s="484" t="s">
        <v>605</v>
      </c>
      <c r="F2145" s="498">
        <v>961.88</v>
      </c>
      <c r="G2145" s="486" t="s">
        <v>3619</v>
      </c>
      <c r="H2145" s="462" t="s">
        <v>278</v>
      </c>
      <c r="I2145" s="484" t="s">
        <v>1109</v>
      </c>
      <c r="J2145" s="487" t="s">
        <v>1110</v>
      </c>
      <c r="K2145" s="183"/>
      <c r="L2145" s="183"/>
      <c r="M2145" s="484" t="s">
        <v>704</v>
      </c>
      <c r="N2145" s="487">
        <v>2296</v>
      </c>
      <c r="O2145" s="487" t="s">
        <v>3485</v>
      </c>
      <c r="P2145" s="484" t="s">
        <v>1553</v>
      </c>
      <c r="Q2145" s="458"/>
      <c r="R2145" s="459"/>
    </row>
    <row r="2146" spans="1:18" ht="84">
      <c r="A2146" s="493"/>
      <c r="B2146" s="387">
        <v>46184</v>
      </c>
      <c r="C2146" s="388">
        <v>46174</v>
      </c>
      <c r="D2146" s="495" t="s">
        <v>248</v>
      </c>
      <c r="E2146" s="484" t="s">
        <v>598</v>
      </c>
      <c r="F2146" s="498">
        <v>3108.56</v>
      </c>
      <c r="G2146" s="486" t="s">
        <v>3620</v>
      </c>
      <c r="H2146" s="389" t="s">
        <v>736</v>
      </c>
      <c r="I2146" s="484" t="s">
        <v>2129</v>
      </c>
      <c r="J2146" s="487" t="s">
        <v>2130</v>
      </c>
      <c r="K2146" s="183"/>
      <c r="L2146" s="183"/>
      <c r="M2146" s="484" t="s">
        <v>707</v>
      </c>
      <c r="N2146" s="487">
        <v>16</v>
      </c>
      <c r="O2146" s="487" t="s">
        <v>3485</v>
      </c>
      <c r="P2146" s="484" t="s">
        <v>1554</v>
      </c>
      <c r="Q2146" s="458"/>
      <c r="R2146" s="459"/>
    </row>
    <row r="2147" spans="1:18" ht="96">
      <c r="A2147" s="493"/>
      <c r="B2147" s="387">
        <v>46184</v>
      </c>
      <c r="C2147" s="388">
        <v>46174</v>
      </c>
      <c r="D2147" s="495" t="s">
        <v>248</v>
      </c>
      <c r="E2147" s="484" t="s">
        <v>595</v>
      </c>
      <c r="F2147" s="498">
        <v>1788.95</v>
      </c>
      <c r="G2147" s="486" t="s">
        <v>3621</v>
      </c>
      <c r="H2147" s="462" t="s">
        <v>278</v>
      </c>
      <c r="I2147" s="484" t="s">
        <v>649</v>
      </c>
      <c r="J2147" s="487" t="s">
        <v>650</v>
      </c>
      <c r="K2147" s="183"/>
      <c r="L2147" s="183"/>
      <c r="M2147" s="484" t="s">
        <v>707</v>
      </c>
      <c r="N2147" s="487">
        <v>1385</v>
      </c>
      <c r="O2147" s="487" t="s">
        <v>3485</v>
      </c>
      <c r="P2147" s="484" t="s">
        <v>1554</v>
      </c>
      <c r="Q2147" s="458"/>
      <c r="R2147" s="459"/>
    </row>
    <row r="2148" spans="1:18" ht="48">
      <c r="A2148" s="493"/>
      <c r="B2148" s="387">
        <v>46184</v>
      </c>
      <c r="C2148" s="388">
        <v>46174</v>
      </c>
      <c r="D2148" s="495" t="s">
        <v>248</v>
      </c>
      <c r="E2148" s="484" t="s">
        <v>1216</v>
      </c>
      <c r="F2148" s="498">
        <v>2269.54</v>
      </c>
      <c r="G2148" s="486" t="s">
        <v>3622</v>
      </c>
      <c r="H2148" s="389" t="s">
        <v>278</v>
      </c>
      <c r="I2148" s="484" t="s">
        <v>1127</v>
      </c>
      <c r="J2148" s="487" t="s">
        <v>1128</v>
      </c>
      <c r="K2148" s="183"/>
      <c r="L2148" s="183"/>
      <c r="M2148" s="484" t="s">
        <v>704</v>
      </c>
      <c r="N2148" s="487">
        <v>55315</v>
      </c>
      <c r="O2148" s="487" t="s">
        <v>3485</v>
      </c>
      <c r="P2148" s="484" t="s">
        <v>1554</v>
      </c>
      <c r="Q2148" s="458"/>
      <c r="R2148" s="459"/>
    </row>
    <row r="2149" spans="1:18" ht="93.75" customHeight="1">
      <c r="A2149" s="493"/>
      <c r="B2149" s="387">
        <v>46184</v>
      </c>
      <c r="C2149" s="388">
        <v>46174</v>
      </c>
      <c r="D2149" s="495" t="s">
        <v>248</v>
      </c>
      <c r="E2149" s="484" t="s">
        <v>757</v>
      </c>
      <c r="F2149" s="498">
        <v>1930</v>
      </c>
      <c r="G2149" s="486" t="s">
        <v>3623</v>
      </c>
      <c r="H2149" s="389" t="s">
        <v>736</v>
      </c>
      <c r="I2149" s="484" t="s">
        <v>2628</v>
      </c>
      <c r="J2149" s="487" t="s">
        <v>2629</v>
      </c>
      <c r="K2149" s="183"/>
      <c r="L2149" s="183"/>
      <c r="M2149" s="484" t="s">
        <v>708</v>
      </c>
      <c r="N2149" s="487">
        <v>2637</v>
      </c>
      <c r="O2149" s="487" t="s">
        <v>3293</v>
      </c>
      <c r="P2149" s="484" t="s">
        <v>1553</v>
      </c>
      <c r="Q2149" s="458"/>
      <c r="R2149" s="459"/>
    </row>
    <row r="2150" spans="1:18" ht="60">
      <c r="A2150" s="493"/>
      <c r="B2150" s="387">
        <v>46184</v>
      </c>
      <c r="C2150" s="388">
        <v>46174</v>
      </c>
      <c r="D2150" s="495" t="s">
        <v>248</v>
      </c>
      <c r="E2150" s="484" t="s">
        <v>2676</v>
      </c>
      <c r="F2150" s="498">
        <v>44650</v>
      </c>
      <c r="G2150" s="486" t="s">
        <v>3624</v>
      </c>
      <c r="H2150" s="462" t="s">
        <v>736</v>
      </c>
      <c r="I2150" s="484" t="s">
        <v>2668</v>
      </c>
      <c r="J2150" s="487" t="s">
        <v>2669</v>
      </c>
      <c r="K2150" s="183"/>
      <c r="L2150" s="183"/>
      <c r="M2150" s="484" t="s">
        <v>708</v>
      </c>
      <c r="N2150" s="487">
        <v>28</v>
      </c>
      <c r="O2150" s="487" t="s">
        <v>3293</v>
      </c>
      <c r="P2150" s="484" t="s">
        <v>1556</v>
      </c>
      <c r="Q2150" s="458"/>
      <c r="R2150" s="459"/>
    </row>
    <row r="2151" spans="1:18" ht="102" customHeight="1">
      <c r="A2151" s="493"/>
      <c r="B2151" s="387">
        <v>46184</v>
      </c>
      <c r="C2151" s="388">
        <v>46174</v>
      </c>
      <c r="D2151" s="495" t="s">
        <v>248</v>
      </c>
      <c r="E2151" s="484" t="s">
        <v>598</v>
      </c>
      <c r="F2151" s="498">
        <v>2037</v>
      </c>
      <c r="G2151" s="486" t="s">
        <v>3625</v>
      </c>
      <c r="H2151" s="389" t="s">
        <v>736</v>
      </c>
      <c r="I2151" s="484" t="s">
        <v>3361</v>
      </c>
      <c r="J2151" s="487" t="s">
        <v>3362</v>
      </c>
      <c r="K2151" s="183"/>
      <c r="L2151" s="183"/>
      <c r="M2151" s="484" t="s">
        <v>719</v>
      </c>
      <c r="N2151" s="487">
        <v>1128</v>
      </c>
      <c r="O2151" s="487" t="s">
        <v>3485</v>
      </c>
      <c r="P2151" s="484" t="s">
        <v>1554</v>
      </c>
      <c r="Q2151" s="458"/>
      <c r="R2151" s="459"/>
    </row>
    <row r="2152" spans="1:18" ht="36">
      <c r="A2152" s="493"/>
      <c r="B2152" s="387">
        <v>46184</v>
      </c>
      <c r="C2152" s="388">
        <v>46174</v>
      </c>
      <c r="D2152" s="495" t="s">
        <v>248</v>
      </c>
      <c r="E2152" s="484" t="s">
        <v>802</v>
      </c>
      <c r="F2152" s="498">
        <v>1455</v>
      </c>
      <c r="G2152" s="486" t="s">
        <v>3626</v>
      </c>
      <c r="H2152" s="389" t="s">
        <v>737</v>
      </c>
      <c r="I2152" s="484" t="s">
        <v>2601</v>
      </c>
      <c r="J2152" s="487" t="s">
        <v>1488</v>
      </c>
      <c r="K2152" s="183"/>
      <c r="L2152" s="183"/>
      <c r="M2152" s="484" t="s">
        <v>708</v>
      </c>
      <c r="N2152" s="487">
        <v>83</v>
      </c>
      <c r="O2152" s="487" t="s">
        <v>3485</v>
      </c>
      <c r="P2152" s="484" t="s">
        <v>1553</v>
      </c>
      <c r="Q2152" s="458"/>
      <c r="R2152" s="459"/>
    </row>
    <row r="2153" spans="1:18" ht="36">
      <c r="A2153" s="493"/>
      <c r="B2153" s="387">
        <v>46184</v>
      </c>
      <c r="C2153" s="388">
        <v>46174</v>
      </c>
      <c r="D2153" s="495" t="s">
        <v>248</v>
      </c>
      <c r="E2153" s="484" t="s">
        <v>802</v>
      </c>
      <c r="F2153" s="498">
        <v>1261</v>
      </c>
      <c r="G2153" s="486" t="s">
        <v>3627</v>
      </c>
      <c r="H2153" s="389" t="s">
        <v>737</v>
      </c>
      <c r="I2153" s="484" t="s">
        <v>2601</v>
      </c>
      <c r="J2153" s="487" t="s">
        <v>1488</v>
      </c>
      <c r="K2153" s="183"/>
      <c r="L2153" s="183"/>
      <c r="M2153" s="484" t="s">
        <v>708</v>
      </c>
      <c r="N2153" s="487">
        <v>82</v>
      </c>
      <c r="O2153" s="487" t="s">
        <v>3485</v>
      </c>
      <c r="P2153" s="484" t="s">
        <v>1553</v>
      </c>
      <c r="Q2153" s="458"/>
      <c r="R2153" s="459"/>
    </row>
    <row r="2154" spans="1:18" ht="48">
      <c r="A2154" s="493"/>
      <c r="B2154" s="387">
        <v>46184</v>
      </c>
      <c r="C2154" s="388">
        <v>46174</v>
      </c>
      <c r="D2154" s="495" t="s">
        <v>248</v>
      </c>
      <c r="E2154" s="484" t="s">
        <v>1551</v>
      </c>
      <c r="F2154" s="498">
        <v>1016</v>
      </c>
      <c r="G2154" s="486" t="s">
        <v>3628</v>
      </c>
      <c r="H2154" s="389" t="s">
        <v>737</v>
      </c>
      <c r="I2154" s="484" t="s">
        <v>1501</v>
      </c>
      <c r="J2154" s="487" t="s">
        <v>1502</v>
      </c>
      <c r="K2154" s="183"/>
      <c r="L2154" s="183"/>
      <c r="M2154" s="484" t="s">
        <v>708</v>
      </c>
      <c r="N2154" s="487">
        <v>48</v>
      </c>
      <c r="O2154" s="487" t="s">
        <v>3485</v>
      </c>
      <c r="P2154" s="484" t="s">
        <v>1556</v>
      </c>
      <c r="Q2154" s="458"/>
      <c r="R2154" s="459"/>
    </row>
    <row r="2155" spans="1:18" ht="36">
      <c r="A2155" s="493"/>
      <c r="B2155" s="387">
        <v>46184</v>
      </c>
      <c r="C2155" s="388">
        <v>46174</v>
      </c>
      <c r="D2155" s="495" t="s">
        <v>248</v>
      </c>
      <c r="E2155" s="484" t="s">
        <v>802</v>
      </c>
      <c r="F2155" s="498">
        <v>960</v>
      </c>
      <c r="G2155" s="486" t="s">
        <v>3629</v>
      </c>
      <c r="H2155" s="389" t="s">
        <v>737</v>
      </c>
      <c r="I2155" s="484" t="s">
        <v>2638</v>
      </c>
      <c r="J2155" s="487" t="s">
        <v>2639</v>
      </c>
      <c r="K2155" s="183"/>
      <c r="L2155" s="183"/>
      <c r="M2155" s="484" t="s">
        <v>707</v>
      </c>
      <c r="N2155" s="487">
        <v>94</v>
      </c>
      <c r="O2155" s="487" t="s">
        <v>3492</v>
      </c>
      <c r="P2155" s="484" t="s">
        <v>1554</v>
      </c>
      <c r="Q2155" s="458"/>
      <c r="R2155" s="459"/>
    </row>
    <row r="2156" spans="1:18" ht="36">
      <c r="A2156" s="493"/>
      <c r="B2156" s="387">
        <v>46184</v>
      </c>
      <c r="C2156" s="388">
        <v>46174</v>
      </c>
      <c r="D2156" s="495" t="s">
        <v>248</v>
      </c>
      <c r="E2156" s="484" t="s">
        <v>591</v>
      </c>
      <c r="F2156" s="498">
        <v>2660</v>
      </c>
      <c r="G2156" s="486" t="s">
        <v>3630</v>
      </c>
      <c r="H2156" s="462" t="s">
        <v>736</v>
      </c>
      <c r="I2156" s="484" t="s">
        <v>3399</v>
      </c>
      <c r="J2156" s="487" t="s">
        <v>3400</v>
      </c>
      <c r="K2156" s="183"/>
      <c r="L2156" s="183"/>
      <c r="M2156" s="484" t="s">
        <v>707</v>
      </c>
      <c r="N2156" s="487">
        <v>216</v>
      </c>
      <c r="O2156" s="487" t="s">
        <v>3294</v>
      </c>
      <c r="P2156" s="484" t="s">
        <v>1554</v>
      </c>
      <c r="Q2156" s="458"/>
      <c r="R2156" s="459"/>
    </row>
    <row r="2157" spans="1:18" ht="72">
      <c r="A2157" s="493"/>
      <c r="B2157" s="387">
        <v>46184</v>
      </c>
      <c r="C2157" s="388">
        <v>46174</v>
      </c>
      <c r="D2157" s="495" t="s">
        <v>248</v>
      </c>
      <c r="E2157" s="484" t="s">
        <v>757</v>
      </c>
      <c r="F2157" s="498">
        <v>1254.5</v>
      </c>
      <c r="G2157" s="486" t="s">
        <v>2823</v>
      </c>
      <c r="H2157" s="389" t="s">
        <v>736</v>
      </c>
      <c r="I2157" s="484" t="s">
        <v>2628</v>
      </c>
      <c r="J2157" s="487" t="s">
        <v>2629</v>
      </c>
      <c r="K2157" s="183"/>
      <c r="L2157" s="183"/>
      <c r="M2157" s="484" t="s">
        <v>708</v>
      </c>
      <c r="N2157" s="487">
        <v>2641</v>
      </c>
      <c r="O2157" s="487" t="s">
        <v>3489</v>
      </c>
      <c r="P2157" s="484" t="s">
        <v>1556</v>
      </c>
      <c r="Q2157" s="458"/>
      <c r="R2157" s="459"/>
    </row>
    <row r="2158" spans="1:18" ht="72">
      <c r="A2158" s="493"/>
      <c r="B2158" s="387">
        <v>46184</v>
      </c>
      <c r="C2158" s="388">
        <v>46174</v>
      </c>
      <c r="D2158" s="495" t="s">
        <v>248</v>
      </c>
      <c r="E2158" s="484" t="s">
        <v>757</v>
      </c>
      <c r="F2158" s="498">
        <v>1254.5</v>
      </c>
      <c r="G2158" s="486" t="s">
        <v>2823</v>
      </c>
      <c r="H2158" s="389" t="s">
        <v>736</v>
      </c>
      <c r="I2158" s="484" t="s">
        <v>2628</v>
      </c>
      <c r="J2158" s="487" t="s">
        <v>2629</v>
      </c>
      <c r="K2158" s="183"/>
      <c r="L2158" s="183"/>
      <c r="M2158" s="484" t="s">
        <v>708</v>
      </c>
      <c r="N2158" s="487">
        <v>2642</v>
      </c>
      <c r="O2158" s="487" t="s">
        <v>3489</v>
      </c>
      <c r="P2158" s="484" t="s">
        <v>1556</v>
      </c>
      <c r="Q2158" s="458"/>
      <c r="R2158" s="459"/>
    </row>
    <row r="2159" spans="1:18" ht="36">
      <c r="A2159" s="493"/>
      <c r="B2159" s="387">
        <v>46184</v>
      </c>
      <c r="C2159" s="388">
        <v>46174</v>
      </c>
      <c r="D2159" s="495" t="s">
        <v>248</v>
      </c>
      <c r="E2159" s="484" t="s">
        <v>1551</v>
      </c>
      <c r="F2159" s="498">
        <v>758.67</v>
      </c>
      <c r="G2159" s="486" t="s">
        <v>3631</v>
      </c>
      <c r="H2159" s="389" t="s">
        <v>737</v>
      </c>
      <c r="I2159" s="484" t="s">
        <v>2252</v>
      </c>
      <c r="J2159" s="487" t="s">
        <v>2253</v>
      </c>
      <c r="K2159" s="183"/>
      <c r="L2159" s="183"/>
      <c r="M2159" s="484" t="s">
        <v>707</v>
      </c>
      <c r="N2159" s="487">
        <v>56</v>
      </c>
      <c r="O2159" s="487" t="s">
        <v>3293</v>
      </c>
      <c r="P2159" s="484" t="s">
        <v>1554</v>
      </c>
      <c r="Q2159" s="458"/>
      <c r="R2159" s="459"/>
    </row>
    <row r="2160" spans="1:18" ht="72">
      <c r="A2160" s="493"/>
      <c r="B2160" s="387">
        <v>46184</v>
      </c>
      <c r="C2160" s="388">
        <v>46174</v>
      </c>
      <c r="D2160" s="495" t="s">
        <v>248</v>
      </c>
      <c r="E2160" s="484" t="s">
        <v>600</v>
      </c>
      <c r="F2160" s="498">
        <v>4903.04</v>
      </c>
      <c r="G2160" s="486" t="s">
        <v>1351</v>
      </c>
      <c r="H2160" s="389" t="s">
        <v>737</v>
      </c>
      <c r="I2160" s="484" t="s">
        <v>1142</v>
      </c>
      <c r="J2160" s="487" t="s">
        <v>1143</v>
      </c>
      <c r="K2160" s="183"/>
      <c r="L2160" s="183"/>
      <c r="M2160" s="484" t="s">
        <v>708</v>
      </c>
      <c r="N2160" s="487">
        <v>55</v>
      </c>
      <c r="O2160" s="487" t="s">
        <v>3293</v>
      </c>
      <c r="P2160" s="484" t="s">
        <v>1553</v>
      </c>
      <c r="Q2160" s="458"/>
      <c r="R2160" s="459"/>
    </row>
    <row r="2161" spans="1:18" ht="36">
      <c r="A2161" s="493"/>
      <c r="B2161" s="387">
        <v>46184</v>
      </c>
      <c r="C2161" s="388">
        <v>46174</v>
      </c>
      <c r="D2161" s="495" t="s">
        <v>248</v>
      </c>
      <c r="E2161" s="60" t="s">
        <v>78</v>
      </c>
      <c r="F2161" s="498">
        <v>2654.28</v>
      </c>
      <c r="G2161" s="486" t="s">
        <v>3632</v>
      </c>
      <c r="H2161" s="462" t="s">
        <v>278</v>
      </c>
      <c r="I2161" s="484" t="s">
        <v>658</v>
      </c>
      <c r="J2161" s="487" t="s">
        <v>659</v>
      </c>
      <c r="K2161" s="183"/>
      <c r="L2161" s="183"/>
      <c r="M2161" s="484" t="s">
        <v>708</v>
      </c>
      <c r="N2161" s="487">
        <v>951</v>
      </c>
      <c r="O2161" s="487" t="s">
        <v>3489</v>
      </c>
      <c r="P2161" s="484" t="s">
        <v>1553</v>
      </c>
      <c r="Q2161" s="458"/>
      <c r="R2161" s="459"/>
    </row>
    <row r="2162" spans="1:18" ht="60">
      <c r="A2162" s="493"/>
      <c r="B2162" s="387">
        <v>46184</v>
      </c>
      <c r="C2162" s="388">
        <v>46174</v>
      </c>
      <c r="D2162" s="495" t="s">
        <v>248</v>
      </c>
      <c r="E2162" s="60" t="s">
        <v>477</v>
      </c>
      <c r="F2162" s="498">
        <v>6342</v>
      </c>
      <c r="G2162" s="486" t="s">
        <v>3633</v>
      </c>
      <c r="H2162" s="462" t="s">
        <v>736</v>
      </c>
      <c r="I2162" s="484" t="s">
        <v>3401</v>
      </c>
      <c r="J2162" s="487" t="s">
        <v>3402</v>
      </c>
      <c r="K2162" s="183"/>
      <c r="L2162" s="183"/>
      <c r="M2162" s="484" t="s">
        <v>708</v>
      </c>
      <c r="N2162" s="487">
        <v>123</v>
      </c>
      <c r="O2162" s="487" t="s">
        <v>3293</v>
      </c>
      <c r="P2162" s="484" t="s">
        <v>1556</v>
      </c>
      <c r="Q2162" s="458"/>
      <c r="R2162" s="459"/>
    </row>
    <row r="2163" spans="1:18" ht="60">
      <c r="A2163" s="493"/>
      <c r="B2163" s="387">
        <v>46184</v>
      </c>
      <c r="C2163" s="388">
        <v>46174</v>
      </c>
      <c r="D2163" s="495" t="s">
        <v>248</v>
      </c>
      <c r="E2163" s="484" t="s">
        <v>1208</v>
      </c>
      <c r="F2163" s="498">
        <v>2800</v>
      </c>
      <c r="G2163" s="486" t="s">
        <v>3634</v>
      </c>
      <c r="H2163" s="462" t="s">
        <v>736</v>
      </c>
      <c r="I2163" s="484" t="s">
        <v>3403</v>
      </c>
      <c r="J2163" s="487" t="s">
        <v>3404</v>
      </c>
      <c r="K2163" s="183"/>
      <c r="L2163" s="183"/>
      <c r="M2163" s="484" t="s">
        <v>707</v>
      </c>
      <c r="N2163" s="487">
        <v>12275</v>
      </c>
      <c r="O2163" s="487" t="s">
        <v>3293</v>
      </c>
      <c r="P2163" s="484" t="s">
        <v>1554</v>
      </c>
      <c r="Q2163" s="458"/>
      <c r="R2163" s="459"/>
    </row>
    <row r="2164" spans="1:18" ht="60">
      <c r="A2164" s="493"/>
      <c r="B2164" s="387">
        <v>46184</v>
      </c>
      <c r="C2164" s="388">
        <v>46174</v>
      </c>
      <c r="D2164" s="495" t="s">
        <v>248</v>
      </c>
      <c r="E2164" s="484" t="s">
        <v>1208</v>
      </c>
      <c r="F2164" s="498">
        <v>2800</v>
      </c>
      <c r="G2164" s="486" t="s">
        <v>3634</v>
      </c>
      <c r="H2164" s="462" t="s">
        <v>736</v>
      </c>
      <c r="I2164" s="484" t="s">
        <v>3403</v>
      </c>
      <c r="J2164" s="487" t="s">
        <v>3404</v>
      </c>
      <c r="K2164" s="183"/>
      <c r="L2164" s="183"/>
      <c r="M2164" s="484" t="s">
        <v>707</v>
      </c>
      <c r="N2164" s="487">
        <v>12307</v>
      </c>
      <c r="O2164" s="487" t="s">
        <v>3490</v>
      </c>
      <c r="P2164" s="484" t="s">
        <v>1554</v>
      </c>
      <c r="Q2164" s="458"/>
      <c r="R2164" s="459"/>
    </row>
    <row r="2165" spans="1:18" ht="60">
      <c r="A2165" s="493"/>
      <c r="B2165" s="387">
        <v>46184</v>
      </c>
      <c r="C2165" s="388">
        <v>46174</v>
      </c>
      <c r="D2165" s="495" t="s">
        <v>248</v>
      </c>
      <c r="E2165" s="60" t="s">
        <v>477</v>
      </c>
      <c r="F2165" s="498">
        <v>4863.6000000000004</v>
      </c>
      <c r="G2165" s="486" t="s">
        <v>3633</v>
      </c>
      <c r="H2165" s="462" t="s">
        <v>736</v>
      </c>
      <c r="I2165" s="484" t="s">
        <v>3401</v>
      </c>
      <c r="J2165" s="487" t="s">
        <v>3402</v>
      </c>
      <c r="K2165" s="183"/>
      <c r="L2165" s="183"/>
      <c r="M2165" s="484" t="s">
        <v>708</v>
      </c>
      <c r="N2165" s="487">
        <v>134</v>
      </c>
      <c r="O2165" s="487" t="s">
        <v>3491</v>
      </c>
      <c r="P2165" s="484" t="s">
        <v>1556</v>
      </c>
      <c r="Q2165" s="458"/>
      <c r="R2165" s="459"/>
    </row>
    <row r="2166" spans="1:18" ht="36">
      <c r="A2166" s="493"/>
      <c r="B2166" s="387">
        <v>46184</v>
      </c>
      <c r="C2166" s="388">
        <v>46174</v>
      </c>
      <c r="D2166" s="495" t="s">
        <v>248</v>
      </c>
      <c r="E2166" s="484" t="s">
        <v>592</v>
      </c>
      <c r="F2166" s="498">
        <v>305.57</v>
      </c>
      <c r="G2166" s="486" t="s">
        <v>3635</v>
      </c>
      <c r="H2166" s="462" t="s">
        <v>278</v>
      </c>
      <c r="I2166" s="484" t="s">
        <v>1463</v>
      </c>
      <c r="J2166" s="487" t="s">
        <v>1464</v>
      </c>
      <c r="K2166" s="183"/>
      <c r="L2166" s="183"/>
      <c r="M2166" s="484" t="s">
        <v>704</v>
      </c>
      <c r="N2166" s="487">
        <v>457</v>
      </c>
      <c r="O2166" s="487" t="s">
        <v>3293</v>
      </c>
      <c r="P2166" s="484" t="s">
        <v>1553</v>
      </c>
      <c r="Q2166" s="458"/>
      <c r="R2166" s="459"/>
    </row>
    <row r="2167" spans="1:18" ht="60">
      <c r="A2167" s="493"/>
      <c r="B2167" s="387">
        <v>46184</v>
      </c>
      <c r="C2167" s="388">
        <v>46174</v>
      </c>
      <c r="D2167" s="495" t="s">
        <v>248</v>
      </c>
      <c r="E2167" s="60" t="s">
        <v>477</v>
      </c>
      <c r="F2167" s="498">
        <v>6342</v>
      </c>
      <c r="G2167" s="486" t="s">
        <v>3633</v>
      </c>
      <c r="H2167" s="462" t="s">
        <v>736</v>
      </c>
      <c r="I2167" s="484" t="s">
        <v>3401</v>
      </c>
      <c r="J2167" s="487" t="s">
        <v>3402</v>
      </c>
      <c r="K2167" s="183"/>
      <c r="L2167" s="183"/>
      <c r="M2167" s="484" t="s">
        <v>707</v>
      </c>
      <c r="N2167" s="487">
        <v>135</v>
      </c>
      <c r="O2167" s="487" t="s">
        <v>3491</v>
      </c>
      <c r="P2167" s="484" t="s">
        <v>1554</v>
      </c>
      <c r="Q2167" s="458"/>
      <c r="R2167" s="459"/>
    </row>
    <row r="2168" spans="1:18" ht="48">
      <c r="A2168" s="493"/>
      <c r="B2168" s="387">
        <v>46184</v>
      </c>
      <c r="C2168" s="388">
        <v>46174</v>
      </c>
      <c r="D2168" s="495" t="s">
        <v>248</v>
      </c>
      <c r="E2168" s="484" t="s">
        <v>1551</v>
      </c>
      <c r="F2168" s="498">
        <v>991.31</v>
      </c>
      <c r="G2168" s="486" t="s">
        <v>3636</v>
      </c>
      <c r="H2168" s="389" t="s">
        <v>737</v>
      </c>
      <c r="I2168" s="484" t="s">
        <v>2592</v>
      </c>
      <c r="J2168" s="487" t="s">
        <v>2593</v>
      </c>
      <c r="K2168" s="183"/>
      <c r="L2168" s="183"/>
      <c r="M2168" s="484" t="s">
        <v>719</v>
      </c>
      <c r="N2168" s="487">
        <v>32</v>
      </c>
      <c r="O2168" s="487" t="s">
        <v>3295</v>
      </c>
      <c r="P2168" s="484" t="s">
        <v>1554</v>
      </c>
      <c r="Q2168" s="458"/>
      <c r="R2168" s="459"/>
    </row>
    <row r="2169" spans="1:18" ht="36">
      <c r="A2169" s="493"/>
      <c r="B2169" s="387">
        <v>46184</v>
      </c>
      <c r="C2169" s="388">
        <v>46143</v>
      </c>
      <c r="D2169" s="495" t="s">
        <v>248</v>
      </c>
      <c r="E2169" s="60" t="s">
        <v>470</v>
      </c>
      <c r="F2169" s="498">
        <v>2007.87</v>
      </c>
      <c r="G2169" s="486" t="s">
        <v>3637</v>
      </c>
      <c r="H2169" s="389" t="s">
        <v>737</v>
      </c>
      <c r="I2169" s="484" t="s">
        <v>3405</v>
      </c>
      <c r="J2169" s="487" t="s">
        <v>3406</v>
      </c>
      <c r="K2169" s="183"/>
      <c r="L2169" s="183"/>
      <c r="M2169" s="484" t="s">
        <v>708</v>
      </c>
      <c r="N2169" s="487">
        <v>168566</v>
      </c>
      <c r="O2169" s="487" t="s">
        <v>2538</v>
      </c>
      <c r="P2169" s="484" t="s">
        <v>1553</v>
      </c>
      <c r="Q2169" s="458"/>
      <c r="R2169" s="459"/>
    </row>
    <row r="2170" spans="1:18" ht="36">
      <c r="A2170" s="493"/>
      <c r="B2170" s="387">
        <v>46184</v>
      </c>
      <c r="C2170" s="388">
        <v>46174</v>
      </c>
      <c r="D2170" s="495" t="s">
        <v>248</v>
      </c>
      <c r="E2170" s="484" t="s">
        <v>598</v>
      </c>
      <c r="F2170" s="498">
        <v>2100</v>
      </c>
      <c r="G2170" s="486" t="s">
        <v>3638</v>
      </c>
      <c r="H2170" s="389" t="s">
        <v>736</v>
      </c>
      <c r="I2170" s="484" t="s">
        <v>3407</v>
      </c>
      <c r="J2170" s="487" t="s">
        <v>3408</v>
      </c>
      <c r="K2170" s="183"/>
      <c r="L2170" s="183"/>
      <c r="M2170" s="484" t="s">
        <v>707</v>
      </c>
      <c r="N2170" s="487">
        <v>18</v>
      </c>
      <c r="O2170" s="487" t="s">
        <v>3294</v>
      </c>
      <c r="P2170" s="484" t="s">
        <v>1554</v>
      </c>
      <c r="Q2170" s="458"/>
      <c r="R2170" s="459"/>
    </row>
    <row r="2171" spans="1:18" ht="36">
      <c r="A2171" s="493"/>
      <c r="B2171" s="387">
        <v>46184</v>
      </c>
      <c r="C2171" s="388">
        <v>46174</v>
      </c>
      <c r="D2171" s="495" t="s">
        <v>248</v>
      </c>
      <c r="E2171" s="484" t="s">
        <v>598</v>
      </c>
      <c r="F2171" s="497">
        <v>-2100</v>
      </c>
      <c r="G2171" s="486" t="s">
        <v>3638</v>
      </c>
      <c r="H2171" s="389" t="s">
        <v>736</v>
      </c>
      <c r="I2171" s="484" t="s">
        <v>3407</v>
      </c>
      <c r="J2171" s="487" t="s">
        <v>3408</v>
      </c>
      <c r="K2171" s="183"/>
      <c r="L2171" s="183"/>
      <c r="M2171" s="484" t="s">
        <v>1207</v>
      </c>
      <c r="N2171" s="487">
        <v>18</v>
      </c>
      <c r="O2171" s="487" t="s">
        <v>3294</v>
      </c>
      <c r="P2171" s="484" t="s">
        <v>1554</v>
      </c>
      <c r="Q2171" s="458"/>
      <c r="R2171" s="459"/>
    </row>
    <row r="2172" spans="1:18" ht="36">
      <c r="A2172" s="493"/>
      <c r="B2172" s="387">
        <v>46184</v>
      </c>
      <c r="C2172" s="388">
        <v>46174</v>
      </c>
      <c r="D2172" s="39" t="s">
        <v>353</v>
      </c>
      <c r="E2172" s="39" t="s">
        <v>153</v>
      </c>
      <c r="F2172" s="498">
        <v>12524.6</v>
      </c>
      <c r="G2172" s="486" t="s">
        <v>821</v>
      </c>
      <c r="H2172" s="389" t="s">
        <v>280</v>
      </c>
      <c r="I2172" s="484" t="s">
        <v>3381</v>
      </c>
      <c r="J2172" s="487" t="s">
        <v>683</v>
      </c>
      <c r="K2172" s="183"/>
      <c r="L2172" s="183"/>
      <c r="M2172" s="484" t="s">
        <v>706</v>
      </c>
      <c r="N2172" s="487">
        <v>2057887487</v>
      </c>
      <c r="O2172" s="487" t="s">
        <v>3493</v>
      </c>
      <c r="P2172" s="484" t="s">
        <v>1553</v>
      </c>
      <c r="Q2172" s="458"/>
      <c r="R2172" s="459"/>
    </row>
    <row r="2173" spans="1:18" ht="36">
      <c r="A2173" s="493"/>
      <c r="B2173" s="387">
        <v>46184</v>
      </c>
      <c r="C2173" s="388">
        <v>46174</v>
      </c>
      <c r="D2173" s="495" t="s">
        <v>248</v>
      </c>
      <c r="E2173" s="484" t="s">
        <v>607</v>
      </c>
      <c r="F2173" s="485">
        <v>78.180000000000007</v>
      </c>
      <c r="G2173" s="486" t="s">
        <v>3639</v>
      </c>
      <c r="H2173" s="453" t="s">
        <v>278</v>
      </c>
      <c r="I2173" s="484" t="s">
        <v>881</v>
      </c>
      <c r="J2173" s="487" t="s">
        <v>773</v>
      </c>
      <c r="K2173" s="183"/>
      <c r="L2173" s="183"/>
      <c r="M2173" s="484" t="s">
        <v>710</v>
      </c>
      <c r="N2173" s="487">
        <v>116545</v>
      </c>
      <c r="O2173" s="487" t="s">
        <v>3493</v>
      </c>
      <c r="P2173" s="484" t="s">
        <v>735</v>
      </c>
      <c r="Q2173" s="458"/>
      <c r="R2173" s="459"/>
    </row>
    <row r="2174" spans="1:18" ht="48">
      <c r="A2174" s="493"/>
      <c r="B2174" s="387">
        <v>46184</v>
      </c>
      <c r="C2174" s="388">
        <v>46174</v>
      </c>
      <c r="D2174" s="495" t="s">
        <v>248</v>
      </c>
      <c r="E2174" s="60" t="s">
        <v>61</v>
      </c>
      <c r="F2174" s="485">
        <v>100</v>
      </c>
      <c r="G2174" s="486" t="s">
        <v>3640</v>
      </c>
      <c r="H2174" s="389" t="s">
        <v>278</v>
      </c>
      <c r="I2174" s="484" t="s">
        <v>881</v>
      </c>
      <c r="J2174" s="487" t="s">
        <v>773</v>
      </c>
      <c r="K2174" s="183"/>
      <c r="L2174" s="183"/>
      <c r="M2174" s="484" t="s">
        <v>710</v>
      </c>
      <c r="N2174" s="487">
        <v>852</v>
      </c>
      <c r="O2174" s="487" t="s">
        <v>3493</v>
      </c>
      <c r="P2174" s="484" t="s">
        <v>735</v>
      </c>
      <c r="Q2174" s="458"/>
      <c r="R2174" s="459"/>
    </row>
    <row r="2175" spans="1:18" ht="36">
      <c r="A2175" s="493"/>
      <c r="B2175" s="387">
        <v>46184</v>
      </c>
      <c r="C2175" s="388">
        <v>46174</v>
      </c>
      <c r="D2175" s="495" t="s">
        <v>248</v>
      </c>
      <c r="E2175" s="484" t="s">
        <v>597</v>
      </c>
      <c r="F2175" s="485">
        <v>17.600000000000001</v>
      </c>
      <c r="G2175" s="486" t="s">
        <v>3641</v>
      </c>
      <c r="H2175" s="462" t="s">
        <v>278</v>
      </c>
      <c r="I2175" s="484" t="s">
        <v>881</v>
      </c>
      <c r="J2175" s="487" t="s">
        <v>773</v>
      </c>
      <c r="K2175" s="183"/>
      <c r="L2175" s="183"/>
      <c r="M2175" s="484" t="s">
        <v>710</v>
      </c>
      <c r="N2175" s="487">
        <v>60655</v>
      </c>
      <c r="O2175" s="487" t="s">
        <v>3493</v>
      </c>
      <c r="P2175" s="484" t="s">
        <v>735</v>
      </c>
      <c r="Q2175" s="458"/>
      <c r="R2175" s="459"/>
    </row>
    <row r="2176" spans="1:18" ht="36">
      <c r="A2176" s="493"/>
      <c r="B2176" s="387">
        <v>46184</v>
      </c>
      <c r="C2176" s="388">
        <v>46174</v>
      </c>
      <c r="D2176" s="495" t="s">
        <v>248</v>
      </c>
      <c r="E2176" s="484" t="s">
        <v>597</v>
      </c>
      <c r="F2176" s="485">
        <v>70.2</v>
      </c>
      <c r="G2176" s="486" t="s">
        <v>3642</v>
      </c>
      <c r="H2176" s="462" t="s">
        <v>278</v>
      </c>
      <c r="I2176" s="484" t="s">
        <v>881</v>
      </c>
      <c r="J2176" s="487" t="s">
        <v>773</v>
      </c>
      <c r="K2176" s="183"/>
      <c r="L2176" s="183"/>
      <c r="M2176" s="484" t="s">
        <v>710</v>
      </c>
      <c r="N2176" s="487">
        <v>148343</v>
      </c>
      <c r="O2176" s="487" t="s">
        <v>3493</v>
      </c>
      <c r="P2176" s="484" t="s">
        <v>735</v>
      </c>
      <c r="Q2176" s="458"/>
      <c r="R2176" s="459"/>
    </row>
    <row r="2177" spans="1:18" ht="36">
      <c r="A2177" s="493"/>
      <c r="B2177" s="387">
        <v>46184</v>
      </c>
      <c r="C2177" s="388">
        <v>46174</v>
      </c>
      <c r="D2177" s="495" t="s">
        <v>248</v>
      </c>
      <c r="E2177" s="60" t="s">
        <v>78</v>
      </c>
      <c r="F2177" s="498">
        <v>504</v>
      </c>
      <c r="G2177" s="486" t="s">
        <v>3643</v>
      </c>
      <c r="H2177" s="462" t="s">
        <v>736</v>
      </c>
      <c r="I2177" s="484" t="s">
        <v>3409</v>
      </c>
      <c r="J2177" s="487" t="s">
        <v>3410</v>
      </c>
      <c r="K2177" s="183"/>
      <c r="L2177" s="183"/>
      <c r="M2177" s="484" t="s">
        <v>708</v>
      </c>
      <c r="N2177" s="487">
        <v>26</v>
      </c>
      <c r="O2177" s="487" t="s">
        <v>3493</v>
      </c>
      <c r="P2177" s="484" t="s">
        <v>1553</v>
      </c>
      <c r="Q2177" s="458"/>
      <c r="R2177" s="459"/>
    </row>
    <row r="2178" spans="1:18" ht="36">
      <c r="A2178" s="493"/>
      <c r="B2178" s="387">
        <v>46184</v>
      </c>
      <c r="C2178" s="388">
        <v>46174</v>
      </c>
      <c r="D2178" s="495" t="s">
        <v>248</v>
      </c>
      <c r="E2178" s="60" t="s">
        <v>470</v>
      </c>
      <c r="F2178" s="498">
        <v>2589.9699999999998</v>
      </c>
      <c r="G2178" s="486" t="s">
        <v>3637</v>
      </c>
      <c r="H2178" s="389" t="s">
        <v>737</v>
      </c>
      <c r="I2178" s="484" t="s">
        <v>3411</v>
      </c>
      <c r="J2178" s="487" t="s">
        <v>3412</v>
      </c>
      <c r="K2178" s="183"/>
      <c r="L2178" s="183"/>
      <c r="M2178" s="484" t="s">
        <v>708</v>
      </c>
      <c r="N2178" s="487">
        <v>136</v>
      </c>
      <c r="O2178" s="487" t="s">
        <v>3490</v>
      </c>
      <c r="P2178" s="484" t="s">
        <v>1553</v>
      </c>
      <c r="Q2178" s="458"/>
      <c r="R2178" s="459"/>
    </row>
    <row r="2179" spans="1:18" ht="36">
      <c r="A2179" s="493"/>
      <c r="B2179" s="387">
        <v>46184</v>
      </c>
      <c r="C2179" s="388">
        <v>46174</v>
      </c>
      <c r="D2179" s="495" t="s">
        <v>248</v>
      </c>
      <c r="E2179" s="60" t="s">
        <v>470</v>
      </c>
      <c r="F2179" s="498">
        <v>1919.64</v>
      </c>
      <c r="G2179" s="486" t="s">
        <v>3637</v>
      </c>
      <c r="H2179" s="389" t="s">
        <v>737</v>
      </c>
      <c r="I2179" s="484" t="s">
        <v>3413</v>
      </c>
      <c r="J2179" s="487" t="s">
        <v>3414</v>
      </c>
      <c r="K2179" s="183"/>
      <c r="L2179" s="183"/>
      <c r="M2179" s="484" t="s">
        <v>708</v>
      </c>
      <c r="N2179" s="487">
        <v>338</v>
      </c>
      <c r="O2179" s="487" t="s">
        <v>3490</v>
      </c>
      <c r="P2179" s="484" t="s">
        <v>1553</v>
      </c>
      <c r="Q2179" s="458"/>
      <c r="R2179" s="459"/>
    </row>
    <row r="2180" spans="1:18" ht="36">
      <c r="A2180" s="493"/>
      <c r="B2180" s="387">
        <v>46184</v>
      </c>
      <c r="C2180" s="388">
        <v>46174</v>
      </c>
      <c r="D2180" s="495" t="s">
        <v>248</v>
      </c>
      <c r="E2180" s="484" t="s">
        <v>607</v>
      </c>
      <c r="F2180" s="498">
        <v>762.6</v>
      </c>
      <c r="G2180" s="486" t="s">
        <v>3843</v>
      </c>
      <c r="H2180" s="453" t="s">
        <v>278</v>
      </c>
      <c r="I2180" s="484" t="s">
        <v>688</v>
      </c>
      <c r="J2180" s="487" t="s">
        <v>689</v>
      </c>
      <c r="K2180" s="183"/>
      <c r="L2180" s="183"/>
      <c r="M2180" s="484" t="s">
        <v>708</v>
      </c>
      <c r="N2180" s="487">
        <v>2943</v>
      </c>
      <c r="O2180" s="487" t="s">
        <v>3295</v>
      </c>
      <c r="P2180" s="484" t="s">
        <v>1553</v>
      </c>
      <c r="Q2180" s="458"/>
      <c r="R2180" s="459"/>
    </row>
    <row r="2181" spans="1:18" ht="60">
      <c r="A2181" s="493"/>
      <c r="B2181" s="387">
        <v>46184</v>
      </c>
      <c r="C2181" s="388">
        <v>46174</v>
      </c>
      <c r="D2181" s="495" t="s">
        <v>248</v>
      </c>
      <c r="E2181" s="484" t="s">
        <v>597</v>
      </c>
      <c r="F2181" s="498">
        <v>164.9</v>
      </c>
      <c r="G2181" s="486" t="s">
        <v>3644</v>
      </c>
      <c r="H2181" s="462" t="s">
        <v>278</v>
      </c>
      <c r="I2181" s="484" t="s">
        <v>3415</v>
      </c>
      <c r="J2181" s="487" t="s">
        <v>3416</v>
      </c>
      <c r="K2181" s="183"/>
      <c r="L2181" s="183"/>
      <c r="M2181" s="484" t="s">
        <v>704</v>
      </c>
      <c r="N2181" s="487">
        <v>26212</v>
      </c>
      <c r="O2181" s="487" t="s">
        <v>3493</v>
      </c>
      <c r="P2181" s="484" t="s">
        <v>1553</v>
      </c>
      <c r="Q2181" s="458"/>
      <c r="R2181" s="459"/>
    </row>
    <row r="2182" spans="1:18" ht="60">
      <c r="A2182" s="493"/>
      <c r="B2182" s="387">
        <v>46184</v>
      </c>
      <c r="C2182" s="388">
        <v>46174</v>
      </c>
      <c r="D2182" s="495" t="s">
        <v>248</v>
      </c>
      <c r="E2182" s="484" t="s">
        <v>597</v>
      </c>
      <c r="F2182" s="498">
        <v>532.99</v>
      </c>
      <c r="G2182" s="486" t="s">
        <v>3644</v>
      </c>
      <c r="H2182" s="462" t="s">
        <v>278</v>
      </c>
      <c r="I2182" s="484" t="s">
        <v>3415</v>
      </c>
      <c r="J2182" s="487" t="s">
        <v>3416</v>
      </c>
      <c r="K2182" s="183"/>
      <c r="L2182" s="183"/>
      <c r="M2182" s="484" t="s">
        <v>704</v>
      </c>
      <c r="N2182" s="487">
        <v>106181</v>
      </c>
      <c r="O2182" s="487" t="s">
        <v>3494</v>
      </c>
      <c r="P2182" s="484" t="s">
        <v>1553</v>
      </c>
      <c r="Q2182" s="458"/>
      <c r="R2182" s="459"/>
    </row>
    <row r="2183" spans="1:18" ht="60">
      <c r="A2183" s="493"/>
      <c r="B2183" s="387">
        <v>46184</v>
      </c>
      <c r="C2183" s="388">
        <v>46174</v>
      </c>
      <c r="D2183" s="495" t="s">
        <v>248</v>
      </c>
      <c r="E2183" s="484" t="s">
        <v>2676</v>
      </c>
      <c r="F2183" s="498">
        <v>2234.62</v>
      </c>
      <c r="G2183" s="486" t="s">
        <v>3624</v>
      </c>
      <c r="H2183" s="462" t="s">
        <v>736</v>
      </c>
      <c r="I2183" s="484" t="s">
        <v>2668</v>
      </c>
      <c r="J2183" s="487" t="s">
        <v>2669</v>
      </c>
      <c r="K2183" s="183"/>
      <c r="L2183" s="183"/>
      <c r="M2183" s="484" t="s">
        <v>708</v>
      </c>
      <c r="N2183" s="487">
        <v>28</v>
      </c>
      <c r="O2183" s="487" t="s">
        <v>3293</v>
      </c>
      <c r="P2183" s="484" t="s">
        <v>1556</v>
      </c>
      <c r="Q2183" s="458"/>
      <c r="R2183" s="459"/>
    </row>
    <row r="2184" spans="1:18" ht="60">
      <c r="A2184" s="493"/>
      <c r="B2184" s="387">
        <v>46184</v>
      </c>
      <c r="C2184" s="388">
        <v>46174</v>
      </c>
      <c r="D2184" s="495" t="s">
        <v>248</v>
      </c>
      <c r="E2184" s="484" t="s">
        <v>597</v>
      </c>
      <c r="F2184" s="497">
        <v>84.63</v>
      </c>
      <c r="G2184" s="486" t="s">
        <v>3644</v>
      </c>
      <c r="H2184" s="440" t="s">
        <v>278</v>
      </c>
      <c r="I2184" s="484" t="s">
        <v>3415</v>
      </c>
      <c r="J2184" s="487" t="s">
        <v>3416</v>
      </c>
      <c r="K2184" s="183"/>
      <c r="L2184" s="183"/>
      <c r="M2184" s="484" t="s">
        <v>704</v>
      </c>
      <c r="N2184" s="487">
        <v>26122</v>
      </c>
      <c r="O2184" s="487" t="s">
        <v>3493</v>
      </c>
      <c r="P2184" s="484" t="s">
        <v>1553</v>
      </c>
      <c r="Q2184" s="458"/>
      <c r="R2184" s="459"/>
    </row>
    <row r="2185" spans="1:18" ht="36">
      <c r="A2185" s="493"/>
      <c r="B2185" s="387">
        <v>46185</v>
      </c>
      <c r="C2185" s="388">
        <v>46113</v>
      </c>
      <c r="D2185" s="495" t="s">
        <v>248</v>
      </c>
      <c r="E2185" s="484" t="s">
        <v>597</v>
      </c>
      <c r="F2185" s="498">
        <v>19455.310000000001</v>
      </c>
      <c r="G2185" s="486" t="s">
        <v>2764</v>
      </c>
      <c r="H2185" s="462" t="s">
        <v>738</v>
      </c>
      <c r="I2185" s="484" t="s">
        <v>2590</v>
      </c>
      <c r="J2185" s="487" t="s">
        <v>2591</v>
      </c>
      <c r="K2185" s="183"/>
      <c r="L2185" s="183"/>
      <c r="M2185" s="484" t="s">
        <v>708</v>
      </c>
      <c r="N2185" s="487">
        <v>165610</v>
      </c>
      <c r="O2185" s="487" t="s">
        <v>2097</v>
      </c>
      <c r="P2185" s="484" t="s">
        <v>1553</v>
      </c>
      <c r="Q2185" s="458"/>
      <c r="R2185" s="459"/>
    </row>
    <row r="2186" spans="1:18" ht="84">
      <c r="A2186" s="493"/>
      <c r="B2186" s="387">
        <v>46185</v>
      </c>
      <c r="C2186" s="388">
        <v>46174</v>
      </c>
      <c r="D2186" s="495" t="s">
        <v>248</v>
      </c>
      <c r="E2186" s="484" t="s">
        <v>598</v>
      </c>
      <c r="F2186" s="498">
        <v>2100</v>
      </c>
      <c r="G2186" s="486" t="s">
        <v>3645</v>
      </c>
      <c r="H2186" s="389" t="s">
        <v>736</v>
      </c>
      <c r="I2186" s="484" t="s">
        <v>3407</v>
      </c>
      <c r="J2186" s="487" t="s">
        <v>3408</v>
      </c>
      <c r="K2186" s="183"/>
      <c r="L2186" s="183"/>
      <c r="M2186" s="484" t="s">
        <v>707</v>
      </c>
      <c r="N2186" s="487">
        <v>18</v>
      </c>
      <c r="O2186" s="487" t="s">
        <v>3294</v>
      </c>
      <c r="P2186" s="484" t="s">
        <v>1554</v>
      </c>
      <c r="Q2186" s="458"/>
      <c r="R2186" s="459"/>
    </row>
    <row r="2187" spans="1:18" s="439" customFormat="1" ht="24">
      <c r="A2187" s="502"/>
      <c r="B2187" s="503">
        <v>46185</v>
      </c>
      <c r="C2187" s="504">
        <v>46204</v>
      </c>
      <c r="D2187" s="495" t="s">
        <v>248</v>
      </c>
      <c r="E2187" s="513" t="s">
        <v>495</v>
      </c>
      <c r="F2187" s="512">
        <v>97545.36</v>
      </c>
      <c r="G2187" s="507"/>
      <c r="H2187" s="389" t="s">
        <v>736</v>
      </c>
      <c r="I2187" s="506"/>
      <c r="J2187" s="509"/>
      <c r="K2187" s="510"/>
      <c r="L2187" s="510"/>
      <c r="M2187" s="506"/>
      <c r="N2187" s="509"/>
      <c r="O2187" s="509"/>
      <c r="P2187" s="484" t="s">
        <v>1554</v>
      </c>
      <c r="Q2187" s="505"/>
      <c r="R2187" s="511"/>
    </row>
    <row r="2188" spans="1:18" ht="24">
      <c r="A2188" s="493"/>
      <c r="B2188" s="387">
        <v>46185</v>
      </c>
      <c r="C2188" s="388">
        <v>46174</v>
      </c>
      <c r="D2188" s="495" t="s">
        <v>248</v>
      </c>
      <c r="E2188" s="60" t="s">
        <v>171</v>
      </c>
      <c r="F2188" s="498">
        <v>8104.08</v>
      </c>
      <c r="G2188" s="486" t="s">
        <v>3646</v>
      </c>
      <c r="H2188" s="389" t="s">
        <v>278</v>
      </c>
      <c r="I2188" s="484" t="s">
        <v>660</v>
      </c>
      <c r="J2188" s="487" t="s">
        <v>661</v>
      </c>
      <c r="K2188" s="183"/>
      <c r="L2188" s="183"/>
      <c r="M2188" s="484" t="s">
        <v>707</v>
      </c>
      <c r="N2188" s="487">
        <v>48</v>
      </c>
      <c r="O2188" s="487" t="s">
        <v>3294</v>
      </c>
      <c r="P2188" s="484" t="s">
        <v>1554</v>
      </c>
      <c r="Q2188" s="458"/>
      <c r="R2188" s="459"/>
    </row>
    <row r="2189" spans="1:18" ht="36">
      <c r="A2189" s="493"/>
      <c r="B2189" s="387">
        <v>46185</v>
      </c>
      <c r="C2189" s="388">
        <v>46174</v>
      </c>
      <c r="D2189" s="495" t="s">
        <v>248</v>
      </c>
      <c r="E2189" s="60" t="s">
        <v>171</v>
      </c>
      <c r="F2189" s="498">
        <v>1427.5</v>
      </c>
      <c r="G2189" s="486" t="s">
        <v>3647</v>
      </c>
      <c r="H2189" s="389" t="s">
        <v>278</v>
      </c>
      <c r="I2189" s="484" t="s">
        <v>660</v>
      </c>
      <c r="J2189" s="487" t="s">
        <v>661</v>
      </c>
      <c r="K2189" s="183"/>
      <c r="L2189" s="183"/>
      <c r="M2189" s="484" t="s">
        <v>707</v>
      </c>
      <c r="N2189" s="487">
        <v>49</v>
      </c>
      <c r="O2189" s="487" t="s">
        <v>3294</v>
      </c>
      <c r="P2189" s="484" t="s">
        <v>1554</v>
      </c>
      <c r="Q2189" s="458"/>
      <c r="R2189" s="459"/>
    </row>
    <row r="2190" spans="1:18" ht="36">
      <c r="A2190" s="493"/>
      <c r="B2190" s="387">
        <v>46185</v>
      </c>
      <c r="C2190" s="388">
        <v>46143</v>
      </c>
      <c r="D2190" s="495" t="s">
        <v>248</v>
      </c>
      <c r="E2190" s="484" t="s">
        <v>758</v>
      </c>
      <c r="F2190" s="497">
        <v>200.18</v>
      </c>
      <c r="G2190" s="486" t="s">
        <v>3648</v>
      </c>
      <c r="H2190" s="392" t="s">
        <v>738</v>
      </c>
      <c r="I2190" s="484" t="s">
        <v>635</v>
      </c>
      <c r="J2190" s="487" t="s">
        <v>636</v>
      </c>
      <c r="K2190" s="183"/>
      <c r="L2190" s="183"/>
      <c r="M2190" s="484" t="s">
        <v>712</v>
      </c>
      <c r="N2190" s="487">
        <v>512</v>
      </c>
      <c r="O2190" s="487" t="s">
        <v>2536</v>
      </c>
      <c r="P2190" s="484" t="s">
        <v>1554</v>
      </c>
      <c r="Q2190" s="458"/>
      <c r="R2190" s="459"/>
    </row>
    <row r="2191" spans="1:18" ht="48">
      <c r="A2191" s="493"/>
      <c r="B2191" s="387">
        <v>46185</v>
      </c>
      <c r="C2191" s="388">
        <v>46143</v>
      </c>
      <c r="D2191" s="495" t="s">
        <v>248</v>
      </c>
      <c r="E2191" s="484" t="s">
        <v>605</v>
      </c>
      <c r="F2191" s="497">
        <v>662.31</v>
      </c>
      <c r="G2191" s="486" t="s">
        <v>3649</v>
      </c>
      <c r="H2191" s="462" t="s">
        <v>278</v>
      </c>
      <c r="I2191" s="484" t="s">
        <v>774</v>
      </c>
      <c r="J2191" s="487" t="s">
        <v>775</v>
      </c>
      <c r="K2191" s="183"/>
      <c r="L2191" s="183"/>
      <c r="M2191" s="484" t="s">
        <v>714</v>
      </c>
      <c r="N2191" s="487">
        <v>52026</v>
      </c>
      <c r="O2191" s="487" t="s">
        <v>2546</v>
      </c>
      <c r="P2191" s="484" t="s">
        <v>1553</v>
      </c>
      <c r="Q2191" s="458"/>
      <c r="R2191" s="459"/>
    </row>
    <row r="2192" spans="1:18" ht="48">
      <c r="A2192" s="493"/>
      <c r="B2192" s="387">
        <v>46185</v>
      </c>
      <c r="C2192" s="388">
        <v>46143</v>
      </c>
      <c r="D2192" s="495" t="s">
        <v>248</v>
      </c>
      <c r="E2192" s="484" t="s">
        <v>605</v>
      </c>
      <c r="F2192" s="498">
        <v>1085.6400000000001</v>
      </c>
      <c r="G2192" s="486" t="s">
        <v>3650</v>
      </c>
      <c r="H2192" s="462" t="s">
        <v>278</v>
      </c>
      <c r="I2192" s="484" t="s">
        <v>637</v>
      </c>
      <c r="J2192" s="487" t="s">
        <v>638</v>
      </c>
      <c r="K2192" s="183"/>
      <c r="L2192" s="183"/>
      <c r="M2192" s="484" t="s">
        <v>3512</v>
      </c>
      <c r="N2192" s="487">
        <v>74310526</v>
      </c>
      <c r="O2192" s="487" t="s">
        <v>2546</v>
      </c>
      <c r="P2192" s="484" t="s">
        <v>1553</v>
      </c>
      <c r="Q2192" s="458"/>
      <c r="R2192" s="459"/>
    </row>
    <row r="2193" spans="1:18" ht="72">
      <c r="A2193" s="493"/>
      <c r="B2193" s="387">
        <v>46185</v>
      </c>
      <c r="C2193" s="388">
        <v>46143</v>
      </c>
      <c r="D2193" s="495" t="s">
        <v>248</v>
      </c>
      <c r="E2193" s="484" t="s">
        <v>605</v>
      </c>
      <c r="F2193" s="498">
        <v>162.56</v>
      </c>
      <c r="G2193" s="486" t="s">
        <v>3651</v>
      </c>
      <c r="H2193" s="462" t="s">
        <v>278</v>
      </c>
      <c r="I2193" s="484" t="s">
        <v>637</v>
      </c>
      <c r="J2193" s="487" t="s">
        <v>638</v>
      </c>
      <c r="K2193" s="183"/>
      <c r="L2193" s="183"/>
      <c r="M2193" s="484" t="s">
        <v>1205</v>
      </c>
      <c r="N2193" s="487">
        <v>74310526</v>
      </c>
      <c r="O2193" s="487" t="s">
        <v>2546</v>
      </c>
      <c r="P2193" s="484" t="s">
        <v>1553</v>
      </c>
      <c r="Q2193" s="458"/>
      <c r="R2193" s="459"/>
    </row>
    <row r="2194" spans="1:18" ht="36">
      <c r="A2194" s="493"/>
      <c r="B2194" s="387">
        <v>46185</v>
      </c>
      <c r="C2194" s="388">
        <v>46174</v>
      </c>
      <c r="D2194" s="484" t="s">
        <v>166</v>
      </c>
      <c r="E2194" s="484" t="s">
        <v>584</v>
      </c>
      <c r="F2194" s="498">
        <v>31.54</v>
      </c>
      <c r="G2194" s="486" t="s">
        <v>3652</v>
      </c>
      <c r="H2194" s="389" t="s">
        <v>166</v>
      </c>
      <c r="I2194" s="484" t="s">
        <v>618</v>
      </c>
      <c r="J2194" s="487" t="s">
        <v>619</v>
      </c>
      <c r="K2194" s="183"/>
      <c r="L2194" s="183"/>
      <c r="M2194" s="484" t="s">
        <v>706</v>
      </c>
      <c r="N2194" s="487">
        <v>2057887496</v>
      </c>
      <c r="O2194" s="487" t="s">
        <v>3495</v>
      </c>
      <c r="P2194" s="484" t="s">
        <v>1555</v>
      </c>
      <c r="Q2194" s="458"/>
      <c r="R2194" s="459"/>
    </row>
    <row r="2195" spans="1:18" ht="24">
      <c r="A2195" s="493"/>
      <c r="B2195" s="387">
        <v>46185</v>
      </c>
      <c r="C2195" s="388">
        <v>46143</v>
      </c>
      <c r="D2195" s="495" t="s">
        <v>248</v>
      </c>
      <c r="E2195" s="60" t="s">
        <v>78</v>
      </c>
      <c r="F2195" s="497">
        <v>-1.98</v>
      </c>
      <c r="G2195" s="486" t="s">
        <v>3653</v>
      </c>
      <c r="H2195" s="440" t="s">
        <v>278</v>
      </c>
      <c r="I2195" s="484" t="s">
        <v>2236</v>
      </c>
      <c r="J2195" s="487" t="s">
        <v>2237</v>
      </c>
      <c r="K2195" s="183"/>
      <c r="L2195" s="183"/>
      <c r="M2195" s="484" t="s">
        <v>1207</v>
      </c>
      <c r="N2195" s="487">
        <v>512</v>
      </c>
      <c r="O2195" s="487" t="s">
        <v>2536</v>
      </c>
      <c r="P2195" s="484" t="s">
        <v>1554</v>
      </c>
      <c r="Q2195" s="458"/>
      <c r="R2195" s="459"/>
    </row>
    <row r="2196" spans="1:18" ht="60">
      <c r="A2196" s="493"/>
      <c r="B2196" s="387">
        <v>46185</v>
      </c>
      <c r="C2196" s="388">
        <v>46143</v>
      </c>
      <c r="D2196" s="495" t="s">
        <v>248</v>
      </c>
      <c r="E2196" s="484" t="s">
        <v>605</v>
      </c>
      <c r="F2196" s="498">
        <v>88424.39</v>
      </c>
      <c r="G2196" s="486" t="s">
        <v>3654</v>
      </c>
      <c r="H2196" s="462" t="s">
        <v>278</v>
      </c>
      <c r="I2196" s="484" t="s">
        <v>637</v>
      </c>
      <c r="J2196" s="487" t="s">
        <v>638</v>
      </c>
      <c r="K2196" s="183"/>
      <c r="L2196" s="183"/>
      <c r="M2196" s="484" t="s">
        <v>715</v>
      </c>
      <c r="N2196" s="487">
        <v>74310526</v>
      </c>
      <c r="O2196" s="487" t="s">
        <v>2546</v>
      </c>
      <c r="P2196" s="484" t="s">
        <v>1557</v>
      </c>
      <c r="Q2196" s="458"/>
      <c r="R2196" s="459"/>
    </row>
    <row r="2197" spans="1:18" ht="60">
      <c r="A2197" s="493"/>
      <c r="B2197" s="387">
        <v>46185</v>
      </c>
      <c r="C2197" s="388">
        <v>46143</v>
      </c>
      <c r="D2197" s="495" t="s">
        <v>248</v>
      </c>
      <c r="E2197" s="484" t="s">
        <v>605</v>
      </c>
      <c r="F2197" s="498">
        <v>5.44</v>
      </c>
      <c r="G2197" s="486" t="s">
        <v>3655</v>
      </c>
      <c r="H2197" s="462" t="s">
        <v>278</v>
      </c>
      <c r="I2197" s="484" t="s">
        <v>637</v>
      </c>
      <c r="J2197" s="487" t="s">
        <v>638</v>
      </c>
      <c r="K2197" s="183"/>
      <c r="L2197" s="183"/>
      <c r="M2197" s="484" t="s">
        <v>716</v>
      </c>
      <c r="N2197" s="487">
        <v>74310526</v>
      </c>
      <c r="O2197" s="487" t="s">
        <v>2546</v>
      </c>
      <c r="P2197" s="484" t="s">
        <v>1557</v>
      </c>
      <c r="Q2197" s="458"/>
      <c r="R2197" s="459"/>
    </row>
    <row r="2198" spans="1:18" ht="24">
      <c r="A2198" s="493"/>
      <c r="B2198" s="387">
        <v>46185</v>
      </c>
      <c r="C2198" s="388">
        <v>46174</v>
      </c>
      <c r="D2198" s="484" t="s">
        <v>166</v>
      </c>
      <c r="E2198" s="484" t="s">
        <v>586</v>
      </c>
      <c r="F2198" s="462">
        <v>-14.16</v>
      </c>
      <c r="G2198" s="486" t="s">
        <v>3656</v>
      </c>
      <c r="H2198" s="389" t="s">
        <v>166</v>
      </c>
      <c r="I2198" s="484" t="s">
        <v>3417</v>
      </c>
      <c r="J2198" s="487" t="s">
        <v>3418</v>
      </c>
      <c r="K2198" s="183"/>
      <c r="L2198" s="183"/>
      <c r="M2198" s="484" t="s">
        <v>710</v>
      </c>
      <c r="N2198" s="487">
        <v>62026</v>
      </c>
      <c r="O2198" s="487" t="s">
        <v>3485</v>
      </c>
      <c r="P2198" s="484" t="s">
        <v>735</v>
      </c>
      <c r="Q2198" s="458"/>
      <c r="R2198" s="459"/>
    </row>
    <row r="2199" spans="1:18" ht="48">
      <c r="A2199" s="493"/>
      <c r="B2199" s="387">
        <v>46188</v>
      </c>
      <c r="C2199" s="388">
        <v>46143</v>
      </c>
      <c r="D2199" s="495" t="s">
        <v>248</v>
      </c>
      <c r="E2199" s="484" t="s">
        <v>597</v>
      </c>
      <c r="F2199" s="498">
        <v>155.6</v>
      </c>
      <c r="G2199" s="486" t="s">
        <v>3657</v>
      </c>
      <c r="H2199" s="462" t="s">
        <v>278</v>
      </c>
      <c r="I2199" s="484" t="s">
        <v>698</v>
      </c>
      <c r="J2199" s="487" t="s">
        <v>699</v>
      </c>
      <c r="K2199" s="183"/>
      <c r="L2199" s="183"/>
      <c r="M2199" s="484" t="s">
        <v>708</v>
      </c>
      <c r="N2199" s="487">
        <v>806355</v>
      </c>
      <c r="O2199" s="487" t="s">
        <v>2535</v>
      </c>
      <c r="P2199" s="484" t="s">
        <v>1553</v>
      </c>
      <c r="Q2199" s="458"/>
      <c r="R2199" s="459"/>
    </row>
    <row r="2200" spans="1:18" ht="36">
      <c r="A2200" s="493"/>
      <c r="B2200" s="387">
        <v>46188</v>
      </c>
      <c r="C2200" s="388">
        <v>46143</v>
      </c>
      <c r="D2200" s="495" t="s">
        <v>248</v>
      </c>
      <c r="E2200" s="484" t="s">
        <v>582</v>
      </c>
      <c r="F2200" s="498">
        <v>7515.24</v>
      </c>
      <c r="G2200" s="486" t="s">
        <v>3658</v>
      </c>
      <c r="H2200" s="389" t="s">
        <v>737</v>
      </c>
      <c r="I2200" s="484" t="s">
        <v>696</v>
      </c>
      <c r="J2200" s="487" t="s">
        <v>697</v>
      </c>
      <c r="K2200" s="183"/>
      <c r="L2200" s="183"/>
      <c r="M2200" s="484" t="s">
        <v>913</v>
      </c>
      <c r="N2200" s="487">
        <v>128</v>
      </c>
      <c r="O2200" s="487" t="s">
        <v>2538</v>
      </c>
      <c r="P2200" s="484" t="s">
        <v>1553</v>
      </c>
      <c r="Q2200" s="458"/>
      <c r="R2200" s="459"/>
    </row>
    <row r="2201" spans="1:18" ht="36">
      <c r="A2201" s="493"/>
      <c r="B2201" s="387">
        <v>46188</v>
      </c>
      <c r="C2201" s="388">
        <v>46143</v>
      </c>
      <c r="D2201" s="484" t="s">
        <v>166</v>
      </c>
      <c r="E2201" s="484" t="s">
        <v>1217</v>
      </c>
      <c r="F2201" s="498">
        <v>4238.3999999999996</v>
      </c>
      <c r="G2201" s="486" t="s">
        <v>3659</v>
      </c>
      <c r="H2201" s="389" t="s">
        <v>166</v>
      </c>
      <c r="I2201" s="484" t="s">
        <v>1129</v>
      </c>
      <c r="J2201" s="487" t="s">
        <v>1130</v>
      </c>
      <c r="K2201" s="183"/>
      <c r="L2201" s="183"/>
      <c r="M2201" s="484" t="s">
        <v>913</v>
      </c>
      <c r="N2201" s="487">
        <v>266558169</v>
      </c>
      <c r="O2201" s="487" t="s">
        <v>2533</v>
      </c>
      <c r="P2201" s="484" t="s">
        <v>1553</v>
      </c>
      <c r="Q2201" s="458"/>
      <c r="R2201" s="459"/>
    </row>
    <row r="2202" spans="1:18" ht="36">
      <c r="A2202" s="493"/>
      <c r="B2202" s="387">
        <v>46188</v>
      </c>
      <c r="C2202" s="388">
        <v>46113</v>
      </c>
      <c r="D2202" s="59" t="s">
        <v>248</v>
      </c>
      <c r="E2202" s="59" t="s">
        <v>142</v>
      </c>
      <c r="F2202" s="498">
        <v>136184.4</v>
      </c>
      <c r="G2202" s="486" t="s">
        <v>3660</v>
      </c>
      <c r="H2202" s="389" t="s">
        <v>738</v>
      </c>
      <c r="I2202" s="484" t="s">
        <v>653</v>
      </c>
      <c r="J2202" s="487" t="s">
        <v>654</v>
      </c>
      <c r="K2202" s="183"/>
      <c r="L2202" s="183"/>
      <c r="M2202" s="484" t="s">
        <v>708</v>
      </c>
      <c r="N2202" s="487">
        <v>76119</v>
      </c>
      <c r="O2202" s="487" t="s">
        <v>2107</v>
      </c>
      <c r="P2202" s="484" t="s">
        <v>1553</v>
      </c>
      <c r="Q2202" s="458"/>
      <c r="R2202" s="459"/>
    </row>
    <row r="2203" spans="1:18" ht="36">
      <c r="A2203" s="493"/>
      <c r="B2203" s="387">
        <v>46188</v>
      </c>
      <c r="C2203" s="388">
        <v>46113</v>
      </c>
      <c r="D2203" s="59" t="s">
        <v>248</v>
      </c>
      <c r="E2203" s="59" t="s">
        <v>142</v>
      </c>
      <c r="F2203" s="498">
        <v>54170.11</v>
      </c>
      <c r="G2203" s="486" t="s">
        <v>3661</v>
      </c>
      <c r="H2203" s="389" t="s">
        <v>738</v>
      </c>
      <c r="I2203" s="484" t="s">
        <v>653</v>
      </c>
      <c r="J2203" s="487" t="s">
        <v>654</v>
      </c>
      <c r="K2203" s="183"/>
      <c r="L2203" s="183"/>
      <c r="M2203" s="484" t="s">
        <v>708</v>
      </c>
      <c r="N2203" s="487">
        <v>76119</v>
      </c>
      <c r="O2203" s="487" t="s">
        <v>2107</v>
      </c>
      <c r="P2203" s="484" t="s">
        <v>1553</v>
      </c>
      <c r="Q2203" s="458"/>
      <c r="R2203" s="459"/>
    </row>
    <row r="2204" spans="1:18" ht="36">
      <c r="A2204" s="493"/>
      <c r="B2204" s="387">
        <v>46188</v>
      </c>
      <c r="C2204" s="388">
        <v>46113</v>
      </c>
      <c r="D2204" s="59" t="s">
        <v>248</v>
      </c>
      <c r="E2204" s="59" t="s">
        <v>142</v>
      </c>
      <c r="F2204" s="498">
        <v>4234.75</v>
      </c>
      <c r="G2204" s="486" t="s">
        <v>3662</v>
      </c>
      <c r="H2204" s="389" t="s">
        <v>738</v>
      </c>
      <c r="I2204" s="484" t="s">
        <v>653</v>
      </c>
      <c r="J2204" s="487" t="s">
        <v>654</v>
      </c>
      <c r="K2204" s="183"/>
      <c r="L2204" s="183"/>
      <c r="M2204" s="484" t="s">
        <v>708</v>
      </c>
      <c r="N2204" s="487">
        <v>76119</v>
      </c>
      <c r="O2204" s="487" t="s">
        <v>2107</v>
      </c>
      <c r="P2204" s="484" t="s">
        <v>1553</v>
      </c>
      <c r="Q2204" s="458"/>
      <c r="R2204" s="459"/>
    </row>
    <row r="2205" spans="1:18" ht="36">
      <c r="A2205" s="493"/>
      <c r="B2205" s="387">
        <v>46188</v>
      </c>
      <c r="C2205" s="388">
        <v>46113</v>
      </c>
      <c r="D2205" s="59" t="s">
        <v>248</v>
      </c>
      <c r="E2205" s="59" t="s">
        <v>142</v>
      </c>
      <c r="F2205" s="498">
        <v>1697.34</v>
      </c>
      <c r="G2205" s="486" t="s">
        <v>3662</v>
      </c>
      <c r="H2205" s="389" t="s">
        <v>738</v>
      </c>
      <c r="I2205" s="484" t="s">
        <v>653</v>
      </c>
      <c r="J2205" s="487" t="s">
        <v>654</v>
      </c>
      <c r="K2205" s="183"/>
      <c r="L2205" s="183"/>
      <c r="M2205" s="484" t="s">
        <v>708</v>
      </c>
      <c r="N2205" s="487">
        <v>76119</v>
      </c>
      <c r="O2205" s="487" t="s">
        <v>2107</v>
      </c>
      <c r="P2205" s="484" t="s">
        <v>1553</v>
      </c>
      <c r="Q2205" s="458"/>
      <c r="R2205" s="459"/>
    </row>
    <row r="2206" spans="1:18" ht="36">
      <c r="A2206" s="493"/>
      <c r="B2206" s="387">
        <v>46188</v>
      </c>
      <c r="C2206" s="388">
        <v>46113</v>
      </c>
      <c r="D2206" s="59" t="s">
        <v>248</v>
      </c>
      <c r="E2206" s="59" t="s">
        <v>142</v>
      </c>
      <c r="F2206" s="498">
        <v>52797.81</v>
      </c>
      <c r="G2206" s="486" t="s">
        <v>3663</v>
      </c>
      <c r="H2206" s="389" t="s">
        <v>738</v>
      </c>
      <c r="I2206" s="484" t="s">
        <v>653</v>
      </c>
      <c r="J2206" s="487" t="s">
        <v>654</v>
      </c>
      <c r="K2206" s="183"/>
      <c r="L2206" s="183"/>
      <c r="M2206" s="484" t="s">
        <v>708</v>
      </c>
      <c r="N2206" s="487">
        <v>76119</v>
      </c>
      <c r="O2206" s="487" t="s">
        <v>2107</v>
      </c>
      <c r="P2206" s="484" t="s">
        <v>1553</v>
      </c>
      <c r="Q2206" s="458"/>
      <c r="R2206" s="459"/>
    </row>
    <row r="2207" spans="1:18" ht="36">
      <c r="A2207" s="493"/>
      <c r="B2207" s="387">
        <v>46188</v>
      </c>
      <c r="C2207" s="388">
        <v>46113</v>
      </c>
      <c r="D2207" s="59" t="s">
        <v>248</v>
      </c>
      <c r="E2207" s="59" t="s">
        <v>142</v>
      </c>
      <c r="F2207" s="498">
        <v>1693.98</v>
      </c>
      <c r="G2207" s="486" t="s">
        <v>3664</v>
      </c>
      <c r="H2207" s="389" t="s">
        <v>738</v>
      </c>
      <c r="I2207" s="484" t="s">
        <v>653</v>
      </c>
      <c r="J2207" s="487" t="s">
        <v>654</v>
      </c>
      <c r="K2207" s="183"/>
      <c r="L2207" s="183"/>
      <c r="M2207" s="484" t="s">
        <v>708</v>
      </c>
      <c r="N2207" s="487">
        <v>76119</v>
      </c>
      <c r="O2207" s="487" t="s">
        <v>2107</v>
      </c>
      <c r="P2207" s="484" t="s">
        <v>1553</v>
      </c>
      <c r="Q2207" s="458"/>
      <c r="R2207" s="459"/>
    </row>
    <row r="2208" spans="1:18" ht="24">
      <c r="A2208" s="493"/>
      <c r="B2208" s="387">
        <v>46188</v>
      </c>
      <c r="C2208" s="388">
        <v>46143</v>
      </c>
      <c r="D2208" s="484" t="s">
        <v>166</v>
      </c>
      <c r="E2208" s="484" t="s">
        <v>603</v>
      </c>
      <c r="F2208" s="498">
        <v>115943.63</v>
      </c>
      <c r="G2208" s="486" t="s">
        <v>3588</v>
      </c>
      <c r="H2208" s="389" t="s">
        <v>166</v>
      </c>
      <c r="I2208" s="484" t="s">
        <v>655</v>
      </c>
      <c r="J2208" s="487" t="s">
        <v>656</v>
      </c>
      <c r="K2208" s="183"/>
      <c r="L2208" s="183"/>
      <c r="M2208" s="484" t="s">
        <v>704</v>
      </c>
      <c r="N2208" s="487">
        <v>778050</v>
      </c>
      <c r="O2208" s="487" t="s">
        <v>2532</v>
      </c>
      <c r="P2208" s="484" t="s">
        <v>1555</v>
      </c>
      <c r="Q2208" s="458"/>
      <c r="R2208" s="459"/>
    </row>
    <row r="2209" spans="1:18" ht="48">
      <c r="A2209" s="493"/>
      <c r="B2209" s="387">
        <v>46188</v>
      </c>
      <c r="C2209" s="388">
        <v>46143</v>
      </c>
      <c r="D2209" s="484" t="s">
        <v>166</v>
      </c>
      <c r="E2209" s="484" t="s">
        <v>603</v>
      </c>
      <c r="F2209" s="498">
        <v>1862</v>
      </c>
      <c r="G2209" s="486" t="s">
        <v>3665</v>
      </c>
      <c r="H2209" s="389" t="s">
        <v>166</v>
      </c>
      <c r="I2209" s="484" t="s">
        <v>3419</v>
      </c>
      <c r="J2209" s="487" t="s">
        <v>3420</v>
      </c>
      <c r="K2209" s="183"/>
      <c r="L2209" s="183"/>
      <c r="M2209" s="484" t="s">
        <v>704</v>
      </c>
      <c r="N2209" s="487">
        <v>34817</v>
      </c>
      <c r="O2209" s="487" t="s">
        <v>2545</v>
      </c>
      <c r="P2209" s="484" t="s">
        <v>1555</v>
      </c>
      <c r="Q2209" s="458"/>
      <c r="R2209" s="459"/>
    </row>
    <row r="2210" spans="1:18" ht="24">
      <c r="A2210" s="493"/>
      <c r="B2210" s="387">
        <v>46188</v>
      </c>
      <c r="C2210" s="388">
        <v>46143</v>
      </c>
      <c r="D2210" s="484" t="s">
        <v>166</v>
      </c>
      <c r="E2210" s="484" t="s">
        <v>603</v>
      </c>
      <c r="F2210" s="498">
        <v>10712.46</v>
      </c>
      <c r="G2210" s="486" t="s">
        <v>3588</v>
      </c>
      <c r="H2210" s="389" t="s">
        <v>166</v>
      </c>
      <c r="I2210" s="484" t="s">
        <v>657</v>
      </c>
      <c r="J2210" s="487" t="s">
        <v>656</v>
      </c>
      <c r="K2210" s="183"/>
      <c r="L2210" s="183"/>
      <c r="M2210" s="484" t="s">
        <v>704</v>
      </c>
      <c r="N2210" s="487">
        <v>726795</v>
      </c>
      <c r="O2210" s="487" t="s">
        <v>2529</v>
      </c>
      <c r="P2210" s="484" t="s">
        <v>1555</v>
      </c>
      <c r="Q2210" s="458"/>
      <c r="R2210" s="459"/>
    </row>
    <row r="2211" spans="1:18" ht="36">
      <c r="A2211" s="493"/>
      <c r="B2211" s="387">
        <v>46188</v>
      </c>
      <c r="C2211" s="388">
        <v>46174</v>
      </c>
      <c r="D2211" s="484" t="s">
        <v>166</v>
      </c>
      <c r="E2211" s="484" t="s">
        <v>581</v>
      </c>
      <c r="F2211" s="498">
        <v>867.82</v>
      </c>
      <c r="G2211" s="486" t="s">
        <v>3666</v>
      </c>
      <c r="H2211" s="389" t="s">
        <v>166</v>
      </c>
      <c r="I2211" s="484" t="s">
        <v>1452</v>
      </c>
      <c r="J2211" s="487" t="s">
        <v>1453</v>
      </c>
      <c r="K2211" s="183"/>
      <c r="L2211" s="183"/>
      <c r="M2211" s="484" t="s">
        <v>704</v>
      </c>
      <c r="N2211" s="487">
        <v>9638</v>
      </c>
      <c r="O2211" s="487" t="s">
        <v>3491</v>
      </c>
      <c r="P2211" s="484" t="s">
        <v>1553</v>
      </c>
      <c r="Q2211" s="458"/>
      <c r="R2211" s="459"/>
    </row>
    <row r="2212" spans="1:18" ht="60">
      <c r="A2212" s="493"/>
      <c r="B2212" s="387">
        <v>46188</v>
      </c>
      <c r="C2212" s="388">
        <v>46174</v>
      </c>
      <c r="D2212" s="39" t="s">
        <v>353</v>
      </c>
      <c r="E2212" s="484" t="s">
        <v>587</v>
      </c>
      <c r="F2212" s="498">
        <v>16200</v>
      </c>
      <c r="G2212" s="486" t="s">
        <v>3667</v>
      </c>
      <c r="H2212" s="389" t="s">
        <v>280</v>
      </c>
      <c r="I2212" s="484" t="s">
        <v>3421</v>
      </c>
      <c r="J2212" s="487" t="s">
        <v>3422</v>
      </c>
      <c r="K2212" s="183"/>
      <c r="L2212" s="183"/>
      <c r="M2212" s="484" t="s">
        <v>707</v>
      </c>
      <c r="N2212" s="487">
        <v>19</v>
      </c>
      <c r="O2212" s="487" t="s">
        <v>3493</v>
      </c>
      <c r="P2212" s="484" t="s">
        <v>1553</v>
      </c>
      <c r="Q2212" s="458"/>
      <c r="R2212" s="459"/>
    </row>
    <row r="2213" spans="1:18" ht="48">
      <c r="A2213" s="493"/>
      <c r="B2213" s="387">
        <v>46188</v>
      </c>
      <c r="C2213" s="388">
        <v>46174</v>
      </c>
      <c r="D2213" s="39" t="s">
        <v>353</v>
      </c>
      <c r="E2213" s="484" t="s">
        <v>587</v>
      </c>
      <c r="F2213" s="498">
        <v>100</v>
      </c>
      <c r="G2213" s="486" t="s">
        <v>3668</v>
      </c>
      <c r="H2213" s="389" t="s">
        <v>280</v>
      </c>
      <c r="I2213" s="484" t="s">
        <v>3423</v>
      </c>
      <c r="J2213" s="487" t="s">
        <v>770</v>
      </c>
      <c r="K2213" s="183"/>
      <c r="L2213" s="183"/>
      <c r="M2213" s="484" t="s">
        <v>708</v>
      </c>
      <c r="N2213" s="487">
        <v>62026</v>
      </c>
      <c r="O2213" s="487" t="s">
        <v>3485</v>
      </c>
      <c r="P2213" s="484" t="s">
        <v>1553</v>
      </c>
      <c r="Q2213" s="458"/>
      <c r="R2213" s="459"/>
    </row>
    <row r="2214" spans="1:18" ht="36">
      <c r="A2214" s="493"/>
      <c r="B2214" s="387">
        <v>46188</v>
      </c>
      <c r="C2214" s="388">
        <v>46143</v>
      </c>
      <c r="D2214" s="495" t="s">
        <v>248</v>
      </c>
      <c r="E2214" s="484" t="s">
        <v>605</v>
      </c>
      <c r="F2214" s="497">
        <v>-6.56</v>
      </c>
      <c r="G2214" s="486" t="s">
        <v>3669</v>
      </c>
      <c r="H2214" s="462" t="s">
        <v>278</v>
      </c>
      <c r="I2214" s="484" t="s">
        <v>3424</v>
      </c>
      <c r="J2214" s="487" t="s">
        <v>3425</v>
      </c>
      <c r="K2214" s="183"/>
      <c r="L2214" s="183"/>
      <c r="M2214" s="484" t="s">
        <v>1207</v>
      </c>
      <c r="N2214" s="487">
        <v>52026</v>
      </c>
      <c r="O2214" s="487" t="s">
        <v>2546</v>
      </c>
      <c r="P2214" s="484" t="s">
        <v>1553</v>
      </c>
      <c r="Q2214" s="458"/>
      <c r="R2214" s="459"/>
    </row>
    <row r="2215" spans="1:18" ht="36">
      <c r="A2215" s="493"/>
      <c r="B2215" s="387">
        <v>46188</v>
      </c>
      <c r="C2215" s="388">
        <v>46174</v>
      </c>
      <c r="D2215" s="495" t="s">
        <v>248</v>
      </c>
      <c r="E2215" s="484" t="s">
        <v>597</v>
      </c>
      <c r="F2215" s="485">
        <v>6.9</v>
      </c>
      <c r="G2215" s="486" t="s">
        <v>3670</v>
      </c>
      <c r="H2215" s="462" t="s">
        <v>278</v>
      </c>
      <c r="I2215" s="484" t="s">
        <v>881</v>
      </c>
      <c r="J2215" s="487" t="s">
        <v>773</v>
      </c>
      <c r="K2215" s="183"/>
      <c r="L2215" s="183"/>
      <c r="M2215" s="484" t="s">
        <v>710</v>
      </c>
      <c r="N2215" s="487">
        <v>21036</v>
      </c>
      <c r="O2215" s="487" t="s">
        <v>3496</v>
      </c>
      <c r="P2215" s="484" t="s">
        <v>735</v>
      </c>
      <c r="Q2215" s="458"/>
      <c r="R2215" s="459"/>
    </row>
    <row r="2216" spans="1:18" ht="48">
      <c r="A2216" s="493"/>
      <c r="B2216" s="387">
        <v>46188</v>
      </c>
      <c r="C2216" s="388">
        <v>46174</v>
      </c>
      <c r="D2216" s="495" t="s">
        <v>248</v>
      </c>
      <c r="E2216" s="484" t="s">
        <v>597</v>
      </c>
      <c r="F2216" s="485">
        <v>16</v>
      </c>
      <c r="G2216" s="486" t="s">
        <v>3671</v>
      </c>
      <c r="H2216" s="462" t="s">
        <v>278</v>
      </c>
      <c r="I2216" s="484" t="s">
        <v>881</v>
      </c>
      <c r="J2216" s="487" t="s">
        <v>773</v>
      </c>
      <c r="K2216" s="183"/>
      <c r="L2216" s="183"/>
      <c r="M2216" s="484" t="s">
        <v>710</v>
      </c>
      <c r="N2216" s="487">
        <v>171</v>
      </c>
      <c r="O2216" s="487" t="s">
        <v>3496</v>
      </c>
      <c r="P2216" s="484" t="s">
        <v>735</v>
      </c>
      <c r="Q2216" s="458"/>
      <c r="R2216" s="459"/>
    </row>
    <row r="2217" spans="1:18" ht="36">
      <c r="A2217" s="493"/>
      <c r="B2217" s="387">
        <v>46189</v>
      </c>
      <c r="C2217" s="388">
        <v>46174</v>
      </c>
      <c r="D2217" s="495" t="s">
        <v>248</v>
      </c>
      <c r="E2217" s="484" t="s">
        <v>597</v>
      </c>
      <c r="F2217" s="497">
        <v>-842.6</v>
      </c>
      <c r="G2217" s="486" t="s">
        <v>3672</v>
      </c>
      <c r="H2217" s="462" t="s">
        <v>278</v>
      </c>
      <c r="I2217" s="484" t="s">
        <v>3426</v>
      </c>
      <c r="J2217" s="487" t="s">
        <v>3427</v>
      </c>
      <c r="K2217" s="183"/>
      <c r="L2217" s="183"/>
      <c r="M2217" s="484" t="s">
        <v>708</v>
      </c>
      <c r="N2217" s="487">
        <v>21666</v>
      </c>
      <c r="O2217" s="487" t="s">
        <v>3489</v>
      </c>
      <c r="P2217" s="484" t="s">
        <v>1553</v>
      </c>
      <c r="Q2217" s="458"/>
      <c r="R2217" s="459"/>
    </row>
    <row r="2218" spans="1:18" ht="48">
      <c r="A2218" s="493"/>
      <c r="B2218" s="387">
        <v>46189</v>
      </c>
      <c r="C2218" s="388">
        <v>46174</v>
      </c>
      <c r="D2218" s="39" t="s">
        <v>353</v>
      </c>
      <c r="E2218" s="484" t="s">
        <v>587</v>
      </c>
      <c r="F2218" s="498">
        <v>100</v>
      </c>
      <c r="G2218" s="486" t="s">
        <v>3673</v>
      </c>
      <c r="H2218" s="389" t="s">
        <v>280</v>
      </c>
      <c r="I2218" s="484" t="s">
        <v>3423</v>
      </c>
      <c r="J2218" s="487" t="s">
        <v>770</v>
      </c>
      <c r="K2218" s="183"/>
      <c r="L2218" s="183"/>
      <c r="M2218" s="484" t="s">
        <v>708</v>
      </c>
      <c r="N2218" s="487">
        <v>62026</v>
      </c>
      <c r="O2218" s="487" t="s">
        <v>3485</v>
      </c>
      <c r="P2218" s="484" t="s">
        <v>1553</v>
      </c>
      <c r="Q2218" s="458"/>
      <c r="R2218" s="459"/>
    </row>
    <row r="2219" spans="1:18" ht="36">
      <c r="A2219" s="493"/>
      <c r="B2219" s="387">
        <v>46189</v>
      </c>
      <c r="C2219" s="388">
        <v>46174</v>
      </c>
      <c r="D2219" s="495" t="s">
        <v>248</v>
      </c>
      <c r="E2219" s="484" t="s">
        <v>597</v>
      </c>
      <c r="F2219" s="485">
        <v>34</v>
      </c>
      <c r="G2219" s="486" t="s">
        <v>3674</v>
      </c>
      <c r="H2219" s="462" t="s">
        <v>278</v>
      </c>
      <c r="I2219" s="484" t="s">
        <v>881</v>
      </c>
      <c r="J2219" s="487" t="s">
        <v>773</v>
      </c>
      <c r="K2219" s="183"/>
      <c r="L2219" s="183"/>
      <c r="M2219" s="484" t="s">
        <v>710</v>
      </c>
      <c r="N2219" s="487">
        <v>9157</v>
      </c>
      <c r="O2219" s="487" t="s">
        <v>3497</v>
      </c>
      <c r="P2219" s="484" t="s">
        <v>735</v>
      </c>
      <c r="Q2219" s="458"/>
      <c r="R2219" s="459"/>
    </row>
    <row r="2220" spans="1:18" ht="48">
      <c r="A2220" s="493"/>
      <c r="B2220" s="387">
        <v>46190</v>
      </c>
      <c r="C2220" s="388">
        <v>46174</v>
      </c>
      <c r="D2220" s="39" t="s">
        <v>353</v>
      </c>
      <c r="E2220" s="484" t="s">
        <v>587</v>
      </c>
      <c r="F2220" s="498">
        <v>100</v>
      </c>
      <c r="G2220" s="486" t="s">
        <v>3675</v>
      </c>
      <c r="H2220" s="389" t="s">
        <v>280</v>
      </c>
      <c r="I2220" s="484" t="s">
        <v>3423</v>
      </c>
      <c r="J2220" s="487" t="s">
        <v>770</v>
      </c>
      <c r="K2220" s="183"/>
      <c r="L2220" s="183"/>
      <c r="M2220" s="484" t="s">
        <v>708</v>
      </c>
      <c r="N2220" s="487">
        <v>62026</v>
      </c>
      <c r="O2220" s="487" t="s">
        <v>3485</v>
      </c>
      <c r="P2220" s="484" t="s">
        <v>1553</v>
      </c>
      <c r="Q2220" s="458"/>
      <c r="R2220" s="459"/>
    </row>
    <row r="2221" spans="1:18" s="439" customFormat="1" ht="36">
      <c r="A2221" s="502"/>
      <c r="B2221" s="503">
        <v>46190</v>
      </c>
      <c r="C2221" s="504">
        <v>46143</v>
      </c>
      <c r="D2221" s="495" t="s">
        <v>248</v>
      </c>
      <c r="E2221" s="514" t="s">
        <v>151</v>
      </c>
      <c r="F2221" s="512">
        <v>207.9</v>
      </c>
      <c r="G2221" s="486" t="s">
        <v>3850</v>
      </c>
      <c r="H2221" s="389" t="s">
        <v>278</v>
      </c>
      <c r="I2221" s="484" t="s">
        <v>641</v>
      </c>
      <c r="J2221" s="487" t="s">
        <v>642</v>
      </c>
      <c r="K2221" s="510"/>
      <c r="L2221" s="510"/>
      <c r="M2221" s="506"/>
      <c r="N2221" s="509"/>
      <c r="O2221" s="509"/>
      <c r="P2221" s="484" t="s">
        <v>1554</v>
      </c>
      <c r="Q2221" s="505"/>
      <c r="R2221" s="511"/>
    </row>
    <row r="2222" spans="1:18" s="439" customFormat="1" ht="36">
      <c r="A2222" s="502"/>
      <c r="B2222" s="503">
        <v>46190</v>
      </c>
      <c r="C2222" s="504">
        <v>46143</v>
      </c>
      <c r="D2222" s="495" t="s">
        <v>248</v>
      </c>
      <c r="E2222" s="514" t="s">
        <v>151</v>
      </c>
      <c r="F2222" s="512">
        <v>946.74</v>
      </c>
      <c r="G2222" s="486" t="s">
        <v>3850</v>
      </c>
      <c r="H2222" s="389" t="s">
        <v>278</v>
      </c>
      <c r="I2222" s="484" t="s">
        <v>641</v>
      </c>
      <c r="J2222" s="487" t="s">
        <v>642</v>
      </c>
      <c r="K2222" s="510"/>
      <c r="L2222" s="510"/>
      <c r="M2222" s="484" t="s">
        <v>717</v>
      </c>
      <c r="N2222" s="509"/>
      <c r="O2222" s="509"/>
      <c r="P2222" s="484" t="s">
        <v>1554</v>
      </c>
      <c r="Q2222" s="505"/>
      <c r="R2222" s="511"/>
    </row>
    <row r="2223" spans="1:18" ht="96">
      <c r="A2223" s="493"/>
      <c r="B2223" s="387">
        <v>46191</v>
      </c>
      <c r="C2223" s="388">
        <v>46143</v>
      </c>
      <c r="D2223" s="495" t="s">
        <v>248</v>
      </c>
      <c r="E2223" s="484" t="s">
        <v>595</v>
      </c>
      <c r="F2223" s="498">
        <v>34.47</v>
      </c>
      <c r="G2223" s="486" t="s">
        <v>2715</v>
      </c>
      <c r="H2223" s="462" t="s">
        <v>278</v>
      </c>
      <c r="I2223" s="484" t="s">
        <v>668</v>
      </c>
      <c r="J2223" s="487" t="s">
        <v>669</v>
      </c>
      <c r="K2223" s="183"/>
      <c r="L2223" s="183"/>
      <c r="M2223" s="484" t="s">
        <v>722</v>
      </c>
      <c r="N2223" s="487">
        <v>1197</v>
      </c>
      <c r="O2223" s="487" t="s">
        <v>2118</v>
      </c>
      <c r="P2223" s="484" t="s">
        <v>1554</v>
      </c>
      <c r="Q2223" s="458"/>
      <c r="R2223" s="459"/>
    </row>
    <row r="2224" spans="1:18" s="439" customFormat="1" ht="60">
      <c r="B2224" s="503">
        <v>46191</v>
      </c>
      <c r="C2224" s="504">
        <v>46174</v>
      </c>
      <c r="D2224" s="495" t="s">
        <v>248</v>
      </c>
      <c r="E2224" s="60" t="s">
        <v>477</v>
      </c>
      <c r="F2224" s="516">
        <v>6342</v>
      </c>
      <c r="G2224" s="507" t="s">
        <v>3633</v>
      </c>
      <c r="H2224" s="508" t="s">
        <v>736</v>
      </c>
      <c r="I2224" s="506" t="s">
        <v>3401</v>
      </c>
      <c r="J2224" s="509" t="s">
        <v>3402</v>
      </c>
      <c r="K2224" s="510"/>
      <c r="L2224" s="510"/>
      <c r="M2224" s="506" t="s">
        <v>707</v>
      </c>
      <c r="N2224" s="509">
        <v>135</v>
      </c>
      <c r="O2224" s="509" t="s">
        <v>3491</v>
      </c>
      <c r="P2224" s="484" t="s">
        <v>1554</v>
      </c>
      <c r="Q2224" s="505"/>
      <c r="R2224" s="511"/>
    </row>
    <row r="2225" spans="1:18" ht="96">
      <c r="A2225" s="493"/>
      <c r="B2225" s="387">
        <v>46191</v>
      </c>
      <c r="C2225" s="388">
        <v>46143</v>
      </c>
      <c r="D2225" s="495" t="s">
        <v>248</v>
      </c>
      <c r="E2225" s="484" t="s">
        <v>595</v>
      </c>
      <c r="F2225" s="498">
        <v>252.78</v>
      </c>
      <c r="G2225" s="486" t="s">
        <v>2715</v>
      </c>
      <c r="H2225" s="462" t="s">
        <v>278</v>
      </c>
      <c r="I2225" s="484" t="s">
        <v>672</v>
      </c>
      <c r="J2225" s="487" t="s">
        <v>673</v>
      </c>
      <c r="K2225" s="183"/>
      <c r="L2225" s="183"/>
      <c r="M2225" s="484" t="s">
        <v>723</v>
      </c>
      <c r="N2225" s="487">
        <v>1197</v>
      </c>
      <c r="O2225" s="487" t="s">
        <v>2118</v>
      </c>
      <c r="P2225" s="484" t="s">
        <v>1554</v>
      </c>
      <c r="Q2225" s="458"/>
      <c r="R2225" s="459"/>
    </row>
    <row r="2226" spans="1:18" ht="36">
      <c r="A2226" s="493"/>
      <c r="B2226" s="387">
        <v>46191</v>
      </c>
      <c r="C2226" s="388">
        <v>46143</v>
      </c>
      <c r="D2226" s="495" t="s">
        <v>248</v>
      </c>
      <c r="E2226" s="60" t="s">
        <v>457</v>
      </c>
      <c r="F2226" s="498">
        <v>2521.4899999999998</v>
      </c>
      <c r="G2226" s="486" t="s">
        <v>3676</v>
      </c>
      <c r="H2226" s="462" t="s">
        <v>278</v>
      </c>
      <c r="I2226" s="484" t="s">
        <v>668</v>
      </c>
      <c r="J2226" s="487" t="s">
        <v>669</v>
      </c>
      <c r="K2226" s="183"/>
      <c r="L2226" s="183"/>
      <c r="M2226" s="484" t="s">
        <v>3513</v>
      </c>
      <c r="N2226" s="487">
        <v>1052026</v>
      </c>
      <c r="O2226" s="487" t="s">
        <v>2546</v>
      </c>
      <c r="P2226" s="484" t="s">
        <v>1553</v>
      </c>
      <c r="Q2226" s="458"/>
      <c r="R2226" s="459"/>
    </row>
    <row r="2227" spans="1:18" ht="36">
      <c r="A2227" s="493"/>
      <c r="B2227" s="387">
        <v>46191</v>
      </c>
      <c r="C2227" s="388">
        <v>46143</v>
      </c>
      <c r="D2227" s="495" t="s">
        <v>248</v>
      </c>
      <c r="E2227" s="60" t="s">
        <v>457</v>
      </c>
      <c r="F2227" s="498">
        <v>2510.33</v>
      </c>
      <c r="G2227" s="486" t="s">
        <v>3677</v>
      </c>
      <c r="H2227" s="462" t="s">
        <v>278</v>
      </c>
      <c r="I2227" s="484" t="s">
        <v>668</v>
      </c>
      <c r="J2227" s="487" t="s">
        <v>669</v>
      </c>
      <c r="K2227" s="183"/>
      <c r="L2227" s="183"/>
      <c r="M2227" s="484" t="s">
        <v>3513</v>
      </c>
      <c r="N2227" s="487">
        <v>2052026</v>
      </c>
      <c r="O2227" s="487" t="s">
        <v>2526</v>
      </c>
      <c r="P2227" s="484" t="s">
        <v>1553</v>
      </c>
      <c r="Q2227" s="458"/>
      <c r="R2227" s="459"/>
    </row>
    <row r="2228" spans="1:18" ht="36">
      <c r="A2228" s="493"/>
      <c r="B2228" s="387">
        <v>46191</v>
      </c>
      <c r="C2228" s="388">
        <v>46143</v>
      </c>
      <c r="D2228" s="495" t="s">
        <v>248</v>
      </c>
      <c r="E2228" s="60" t="s">
        <v>455</v>
      </c>
      <c r="F2228" s="498">
        <v>598.96</v>
      </c>
      <c r="G2228" s="486" t="s">
        <v>2917</v>
      </c>
      <c r="H2228" s="389" t="s">
        <v>738</v>
      </c>
      <c r="I2228" s="484" t="s">
        <v>668</v>
      </c>
      <c r="J2228" s="487" t="s">
        <v>669</v>
      </c>
      <c r="K2228" s="183"/>
      <c r="L2228" s="183"/>
      <c r="M2228" s="484" t="s">
        <v>722</v>
      </c>
      <c r="N2228" s="487">
        <v>326</v>
      </c>
      <c r="O2228" s="487" t="s">
        <v>2529</v>
      </c>
      <c r="P2228" s="484" t="s">
        <v>1554</v>
      </c>
      <c r="Q2228" s="458"/>
      <c r="R2228" s="459"/>
    </row>
    <row r="2229" spans="1:18" s="439" customFormat="1" ht="84">
      <c r="A2229" s="502"/>
      <c r="B2229" s="503">
        <v>46191</v>
      </c>
      <c r="C2229" s="504">
        <v>46143</v>
      </c>
      <c r="D2229" s="495" t="s">
        <v>248</v>
      </c>
      <c r="E2229" s="513" t="s">
        <v>478</v>
      </c>
      <c r="F2229" s="512">
        <v>6303.41</v>
      </c>
      <c r="G2229" s="486" t="s">
        <v>2853</v>
      </c>
      <c r="H2229" s="439" t="s">
        <v>736</v>
      </c>
      <c r="I2229" s="484" t="s">
        <v>2636</v>
      </c>
      <c r="J2229" s="487" t="s">
        <v>2637</v>
      </c>
      <c r="K2229" s="510"/>
      <c r="L2229" s="510"/>
      <c r="M2229" s="484" t="s">
        <v>708</v>
      </c>
      <c r="N2229" s="509">
        <v>18</v>
      </c>
      <c r="O2229" s="566">
        <v>46184</v>
      </c>
      <c r="P2229" s="484" t="s">
        <v>1554</v>
      </c>
      <c r="Q2229" s="505"/>
      <c r="R2229" s="511"/>
    </row>
    <row r="2230" spans="1:18" ht="36">
      <c r="A2230" s="493"/>
      <c r="B2230" s="387">
        <v>46191</v>
      </c>
      <c r="C2230" s="388">
        <v>46143</v>
      </c>
      <c r="D2230" s="495" t="s">
        <v>248</v>
      </c>
      <c r="E2230" s="60" t="s">
        <v>455</v>
      </c>
      <c r="F2230" s="498">
        <v>6588.56</v>
      </c>
      <c r="G2230" s="486" t="s">
        <v>2917</v>
      </c>
      <c r="H2230" s="389" t="s">
        <v>738</v>
      </c>
      <c r="I2230" s="484" t="s">
        <v>672</v>
      </c>
      <c r="J2230" s="487" t="s">
        <v>673</v>
      </c>
      <c r="K2230" s="183"/>
      <c r="L2230" s="183"/>
      <c r="M2230" s="484" t="s">
        <v>723</v>
      </c>
      <c r="N2230" s="487">
        <v>326</v>
      </c>
      <c r="O2230" s="487" t="s">
        <v>2529</v>
      </c>
      <c r="P2230" s="484" t="s">
        <v>1554</v>
      </c>
      <c r="Q2230" s="458"/>
      <c r="R2230" s="459"/>
    </row>
    <row r="2231" spans="1:18" ht="36">
      <c r="A2231" s="493"/>
      <c r="B2231" s="387">
        <v>46191</v>
      </c>
      <c r="C2231" s="388">
        <v>46143</v>
      </c>
      <c r="D2231" s="495" t="s">
        <v>248</v>
      </c>
      <c r="E2231" s="484" t="s">
        <v>604</v>
      </c>
      <c r="F2231" s="498">
        <v>205.22</v>
      </c>
      <c r="G2231" s="486" t="s">
        <v>2773</v>
      </c>
      <c r="H2231" s="389" t="s">
        <v>1029</v>
      </c>
      <c r="I2231" s="484" t="s">
        <v>668</v>
      </c>
      <c r="J2231" s="487" t="s">
        <v>669</v>
      </c>
      <c r="K2231" s="183"/>
      <c r="L2231" s="183"/>
      <c r="M2231" s="484" t="s">
        <v>722</v>
      </c>
      <c r="N2231" s="487">
        <v>2322844</v>
      </c>
      <c r="O2231" s="487" t="s">
        <v>2529</v>
      </c>
      <c r="P2231" s="484" t="s">
        <v>1554</v>
      </c>
      <c r="Q2231" s="458"/>
      <c r="R2231" s="459"/>
    </row>
    <row r="2232" spans="1:18" ht="36">
      <c r="A2232" s="493"/>
      <c r="B2232" s="387">
        <v>46191</v>
      </c>
      <c r="C2232" s="388">
        <v>46143</v>
      </c>
      <c r="D2232" s="495" t="s">
        <v>248</v>
      </c>
      <c r="E2232" s="484" t="s">
        <v>604</v>
      </c>
      <c r="F2232" s="498">
        <v>2257.4699999999998</v>
      </c>
      <c r="G2232" s="486" t="s">
        <v>2773</v>
      </c>
      <c r="H2232" s="389" t="s">
        <v>1029</v>
      </c>
      <c r="I2232" s="484" t="s">
        <v>672</v>
      </c>
      <c r="J2232" s="487" t="s">
        <v>673</v>
      </c>
      <c r="K2232" s="183"/>
      <c r="L2232" s="183"/>
      <c r="M2232" s="484" t="s">
        <v>723</v>
      </c>
      <c r="N2232" s="487">
        <v>2322844</v>
      </c>
      <c r="O2232" s="487" t="s">
        <v>2529</v>
      </c>
      <c r="P2232" s="484" t="s">
        <v>1554</v>
      </c>
      <c r="Q2232" s="458"/>
      <c r="R2232" s="459"/>
    </row>
    <row r="2233" spans="1:18" ht="60">
      <c r="A2233" s="493"/>
      <c r="B2233" s="387">
        <v>46191</v>
      </c>
      <c r="C2233" s="388">
        <v>46143</v>
      </c>
      <c r="D2233" s="495" t="s">
        <v>248</v>
      </c>
      <c r="E2233" s="60" t="s">
        <v>78</v>
      </c>
      <c r="F2233" s="498">
        <v>113.4</v>
      </c>
      <c r="G2233" s="486" t="s">
        <v>2284</v>
      </c>
      <c r="H2233" s="453" t="s">
        <v>736</v>
      </c>
      <c r="I2233" s="484" t="s">
        <v>668</v>
      </c>
      <c r="J2233" s="487" t="s">
        <v>669</v>
      </c>
      <c r="K2233" s="183"/>
      <c r="L2233" s="183"/>
      <c r="M2233" s="484" t="s">
        <v>722</v>
      </c>
      <c r="N2233" s="487">
        <v>17</v>
      </c>
      <c r="O2233" s="487" t="s">
        <v>2532</v>
      </c>
      <c r="P2233" s="484" t="s">
        <v>1554</v>
      </c>
      <c r="Q2233" s="458"/>
      <c r="R2233" s="459"/>
    </row>
    <row r="2234" spans="1:18" ht="60">
      <c r="A2234" s="493"/>
      <c r="B2234" s="387">
        <v>46191</v>
      </c>
      <c r="C2234" s="388">
        <v>46143</v>
      </c>
      <c r="D2234" s="495" t="s">
        <v>248</v>
      </c>
      <c r="E2234" s="60" t="s">
        <v>78</v>
      </c>
      <c r="F2234" s="498">
        <v>831.6</v>
      </c>
      <c r="G2234" s="486" t="s">
        <v>2284</v>
      </c>
      <c r="H2234" s="453" t="s">
        <v>736</v>
      </c>
      <c r="I2234" s="484" t="s">
        <v>672</v>
      </c>
      <c r="J2234" s="487" t="s">
        <v>673</v>
      </c>
      <c r="K2234" s="183"/>
      <c r="L2234" s="183"/>
      <c r="M2234" s="484" t="s">
        <v>723</v>
      </c>
      <c r="N2234" s="487">
        <v>17</v>
      </c>
      <c r="O2234" s="487" t="s">
        <v>2532</v>
      </c>
      <c r="P2234" s="484" t="s">
        <v>1554</v>
      </c>
      <c r="Q2234" s="458"/>
      <c r="R2234" s="459"/>
    </row>
    <row r="2235" spans="1:18" ht="36">
      <c r="A2235" s="493"/>
      <c r="B2235" s="387">
        <v>46191</v>
      </c>
      <c r="C2235" s="388">
        <v>46143</v>
      </c>
      <c r="D2235" s="495" t="s">
        <v>248</v>
      </c>
      <c r="E2235" s="60" t="s">
        <v>457</v>
      </c>
      <c r="F2235" s="498">
        <v>422.46</v>
      </c>
      <c r="G2235" s="486" t="s">
        <v>3678</v>
      </c>
      <c r="H2235" s="462" t="s">
        <v>278</v>
      </c>
      <c r="I2235" s="484" t="s">
        <v>668</v>
      </c>
      <c r="J2235" s="487" t="s">
        <v>669</v>
      </c>
      <c r="K2235" s="183"/>
      <c r="L2235" s="183"/>
      <c r="M2235" s="484" t="s">
        <v>3513</v>
      </c>
      <c r="N2235" s="487">
        <v>7052026</v>
      </c>
      <c r="O2235" s="487" t="s">
        <v>2529</v>
      </c>
      <c r="P2235" s="484" t="s">
        <v>1553</v>
      </c>
      <c r="Q2235" s="458"/>
      <c r="R2235" s="459"/>
    </row>
    <row r="2236" spans="1:18" ht="36">
      <c r="A2236" s="493"/>
      <c r="B2236" s="387">
        <v>46191</v>
      </c>
      <c r="C2236" s="388">
        <v>46143</v>
      </c>
      <c r="D2236" s="495" t="s">
        <v>248</v>
      </c>
      <c r="E2236" s="60" t="s">
        <v>457</v>
      </c>
      <c r="F2236" s="498">
        <v>951.83</v>
      </c>
      <c r="G2236" s="486" t="s">
        <v>3679</v>
      </c>
      <c r="H2236" s="462" t="s">
        <v>278</v>
      </c>
      <c r="I2236" s="484" t="s">
        <v>668</v>
      </c>
      <c r="J2236" s="487" t="s">
        <v>669</v>
      </c>
      <c r="K2236" s="183"/>
      <c r="L2236" s="183"/>
      <c r="M2236" s="484" t="s">
        <v>3513</v>
      </c>
      <c r="N2236" s="487">
        <v>8052026</v>
      </c>
      <c r="O2236" s="487" t="s">
        <v>2530</v>
      </c>
      <c r="P2236" s="484" t="s">
        <v>1553</v>
      </c>
      <c r="Q2236" s="458"/>
      <c r="R2236" s="459"/>
    </row>
    <row r="2237" spans="1:18" ht="36">
      <c r="A2237" s="493"/>
      <c r="B2237" s="387">
        <v>46191</v>
      </c>
      <c r="C2237" s="388">
        <v>46143</v>
      </c>
      <c r="D2237" s="484" t="s">
        <v>166</v>
      </c>
      <c r="E2237" s="484" t="s">
        <v>581</v>
      </c>
      <c r="F2237" s="498">
        <v>11.25</v>
      </c>
      <c r="G2237" s="486" t="s">
        <v>3580</v>
      </c>
      <c r="H2237" s="389" t="s">
        <v>166</v>
      </c>
      <c r="I2237" s="484" t="s">
        <v>668</v>
      </c>
      <c r="J2237" s="487" t="s">
        <v>669</v>
      </c>
      <c r="K2237" s="183"/>
      <c r="L2237" s="183"/>
      <c r="M2237" s="484" t="s">
        <v>722</v>
      </c>
      <c r="N2237" s="487">
        <v>18064</v>
      </c>
      <c r="O2237" s="487" t="s">
        <v>2533</v>
      </c>
      <c r="P2237" s="484" t="s">
        <v>1553</v>
      </c>
      <c r="Q2237" s="458"/>
      <c r="R2237" s="459"/>
    </row>
    <row r="2238" spans="1:18" ht="96">
      <c r="A2238" s="493"/>
      <c r="B2238" s="387">
        <v>46191</v>
      </c>
      <c r="C2238" s="388">
        <v>46143</v>
      </c>
      <c r="D2238" s="495" t="s">
        <v>248</v>
      </c>
      <c r="E2238" s="484" t="s">
        <v>595</v>
      </c>
      <c r="F2238" s="498">
        <v>106.86</v>
      </c>
      <c r="G2238" s="486" t="s">
        <v>2715</v>
      </c>
      <c r="H2238" s="462" t="s">
        <v>278</v>
      </c>
      <c r="I2238" s="484" t="s">
        <v>668</v>
      </c>
      <c r="J2238" s="487" t="s">
        <v>669</v>
      </c>
      <c r="K2238" s="183"/>
      <c r="L2238" s="183"/>
      <c r="M2238" s="484" t="s">
        <v>721</v>
      </c>
      <c r="N2238" s="487">
        <v>1197</v>
      </c>
      <c r="O2238" s="487" t="s">
        <v>2118</v>
      </c>
      <c r="P2238" s="484" t="s">
        <v>1554</v>
      </c>
      <c r="Q2238" s="458"/>
      <c r="R2238" s="459"/>
    </row>
    <row r="2239" spans="1:18" ht="72">
      <c r="A2239" s="493"/>
      <c r="B2239" s="387">
        <v>46191</v>
      </c>
      <c r="C2239" s="388">
        <v>46143</v>
      </c>
      <c r="D2239" s="495" t="s">
        <v>248</v>
      </c>
      <c r="E2239" s="60" t="s">
        <v>455</v>
      </c>
      <c r="F2239" s="498">
        <v>137.5</v>
      </c>
      <c r="G2239" s="486" t="s">
        <v>2863</v>
      </c>
      <c r="H2239" s="462" t="s">
        <v>736</v>
      </c>
      <c r="I2239" s="484" t="s">
        <v>672</v>
      </c>
      <c r="J2239" s="487" t="s">
        <v>673</v>
      </c>
      <c r="K2239" s="183"/>
      <c r="L2239" s="183"/>
      <c r="M2239" s="484" t="s">
        <v>723</v>
      </c>
      <c r="N2239" s="487">
        <v>16</v>
      </c>
      <c r="O2239" s="487" t="s">
        <v>2534</v>
      </c>
      <c r="P2239" s="484" t="s">
        <v>1554</v>
      </c>
      <c r="Q2239" s="458"/>
      <c r="R2239" s="459"/>
    </row>
    <row r="2240" spans="1:18" ht="96">
      <c r="A2240" s="493"/>
      <c r="B2240" s="387">
        <v>46191</v>
      </c>
      <c r="C2240" s="388">
        <v>46143</v>
      </c>
      <c r="D2240" s="495" t="s">
        <v>248</v>
      </c>
      <c r="E2240" s="484" t="s">
        <v>758</v>
      </c>
      <c r="F2240" s="498">
        <v>1025.8699999999999</v>
      </c>
      <c r="G2240" s="486" t="s">
        <v>2919</v>
      </c>
      <c r="H2240" s="392" t="s">
        <v>738</v>
      </c>
      <c r="I2240" s="484" t="s">
        <v>668</v>
      </c>
      <c r="J2240" s="487" t="s">
        <v>669</v>
      </c>
      <c r="K2240" s="183"/>
      <c r="L2240" s="183"/>
      <c r="M2240" s="484" t="s">
        <v>722</v>
      </c>
      <c r="N2240" s="487">
        <v>329</v>
      </c>
      <c r="O2240" s="487" t="s">
        <v>2537</v>
      </c>
      <c r="P2240" s="484" t="s">
        <v>1554</v>
      </c>
      <c r="Q2240" s="458"/>
      <c r="R2240" s="459"/>
    </row>
    <row r="2241" spans="1:18" ht="96">
      <c r="A2241" s="493"/>
      <c r="B2241" s="387">
        <v>46191</v>
      </c>
      <c r="C2241" s="388">
        <v>46143</v>
      </c>
      <c r="D2241" s="495" t="s">
        <v>248</v>
      </c>
      <c r="E2241" s="484" t="s">
        <v>758</v>
      </c>
      <c r="F2241" s="498">
        <v>11284.61</v>
      </c>
      <c r="G2241" s="486" t="s">
        <v>2919</v>
      </c>
      <c r="H2241" s="392" t="s">
        <v>738</v>
      </c>
      <c r="I2241" s="484" t="s">
        <v>672</v>
      </c>
      <c r="J2241" s="487" t="s">
        <v>673</v>
      </c>
      <c r="K2241" s="183"/>
      <c r="L2241" s="183"/>
      <c r="M2241" s="484" t="s">
        <v>723</v>
      </c>
      <c r="N2241" s="487">
        <v>329</v>
      </c>
      <c r="O2241" s="487" t="s">
        <v>2537</v>
      </c>
      <c r="P2241" s="484" t="s">
        <v>1554</v>
      </c>
      <c r="Q2241" s="458"/>
      <c r="R2241" s="459"/>
    </row>
    <row r="2242" spans="1:18" ht="36">
      <c r="A2242" s="493"/>
      <c r="B2242" s="387">
        <v>46191</v>
      </c>
      <c r="C2242" s="388">
        <v>46143</v>
      </c>
      <c r="D2242" s="495" t="s">
        <v>248</v>
      </c>
      <c r="E2242" s="60" t="s">
        <v>457</v>
      </c>
      <c r="F2242" s="498">
        <v>439.2</v>
      </c>
      <c r="G2242" s="486" t="s">
        <v>3680</v>
      </c>
      <c r="H2242" s="462" t="s">
        <v>278</v>
      </c>
      <c r="I2242" s="484" t="s">
        <v>668</v>
      </c>
      <c r="J2242" s="487" t="s">
        <v>669</v>
      </c>
      <c r="K2242" s="183"/>
      <c r="L2242" s="183"/>
      <c r="M2242" s="484" t="s">
        <v>3513</v>
      </c>
      <c r="N2242" s="487">
        <v>14</v>
      </c>
      <c r="O2242" s="487" t="s">
        <v>2539</v>
      </c>
      <c r="P2242" s="484" t="s">
        <v>1553</v>
      </c>
      <c r="Q2242" s="458"/>
      <c r="R2242" s="459"/>
    </row>
    <row r="2243" spans="1:18" ht="48">
      <c r="A2243" s="493"/>
      <c r="B2243" s="387">
        <v>46191</v>
      </c>
      <c r="C2243" s="388">
        <v>46143</v>
      </c>
      <c r="D2243" s="495" t="s">
        <v>248</v>
      </c>
      <c r="E2243" s="484" t="s">
        <v>593</v>
      </c>
      <c r="F2243" s="498">
        <v>1637.53</v>
      </c>
      <c r="G2243" s="486" t="s">
        <v>2726</v>
      </c>
      <c r="H2243" s="389" t="s">
        <v>736</v>
      </c>
      <c r="I2243" s="484" t="s">
        <v>668</v>
      </c>
      <c r="J2243" s="487" t="s">
        <v>669</v>
      </c>
      <c r="K2243" s="183"/>
      <c r="L2243" s="183"/>
      <c r="M2243" s="484" t="s">
        <v>722</v>
      </c>
      <c r="N2243" s="487">
        <v>4</v>
      </c>
      <c r="O2243" s="487" t="s">
        <v>2527</v>
      </c>
      <c r="P2243" s="484" t="s">
        <v>1554</v>
      </c>
      <c r="Q2243" s="458"/>
      <c r="R2243" s="459"/>
    </row>
    <row r="2244" spans="1:18" ht="72">
      <c r="A2244" s="493"/>
      <c r="B2244" s="387">
        <v>46191</v>
      </c>
      <c r="C2244" s="388">
        <v>46143</v>
      </c>
      <c r="D2244" s="495" t="s">
        <v>248</v>
      </c>
      <c r="E2244" s="484" t="s">
        <v>757</v>
      </c>
      <c r="F2244" s="498">
        <v>45.5</v>
      </c>
      <c r="G2244" s="486" t="s">
        <v>2823</v>
      </c>
      <c r="H2244" s="389" t="s">
        <v>736</v>
      </c>
      <c r="I2244" s="484" t="s">
        <v>672</v>
      </c>
      <c r="J2244" s="487" t="s">
        <v>673</v>
      </c>
      <c r="K2244" s="183"/>
      <c r="L2244" s="183"/>
      <c r="M2244" s="484" t="s">
        <v>723</v>
      </c>
      <c r="N2244" s="487">
        <v>1635</v>
      </c>
      <c r="O2244" s="487" t="s">
        <v>2537</v>
      </c>
      <c r="P2244" s="484" t="s">
        <v>1556</v>
      </c>
      <c r="Q2244" s="458"/>
      <c r="R2244" s="459"/>
    </row>
    <row r="2245" spans="1:18" ht="48">
      <c r="A2245" s="493"/>
      <c r="B2245" s="387">
        <v>46191</v>
      </c>
      <c r="C2245" s="388">
        <v>46143</v>
      </c>
      <c r="D2245" s="38" t="s">
        <v>132</v>
      </c>
      <c r="E2245" s="38" t="s">
        <v>209</v>
      </c>
      <c r="F2245" s="498">
        <v>1169</v>
      </c>
      <c r="G2245" s="486" t="s">
        <v>3339</v>
      </c>
      <c r="H2245" s="389" t="s">
        <v>278</v>
      </c>
      <c r="I2245" s="484" t="s">
        <v>3428</v>
      </c>
      <c r="J2245" s="487" t="s">
        <v>3429</v>
      </c>
      <c r="K2245" s="183"/>
      <c r="L2245" s="183"/>
      <c r="M2245" s="484" t="s">
        <v>704</v>
      </c>
      <c r="N2245" s="487">
        <v>54778</v>
      </c>
      <c r="O2245" s="487" t="s">
        <v>2539</v>
      </c>
      <c r="P2245" s="484" t="s">
        <v>1553</v>
      </c>
      <c r="Q2245" s="458"/>
      <c r="R2245" s="459"/>
    </row>
    <row r="2246" spans="1:18" ht="36">
      <c r="A2246" s="493"/>
      <c r="B2246" s="387">
        <v>46191</v>
      </c>
      <c r="C2246" s="388">
        <v>46143</v>
      </c>
      <c r="D2246" s="495" t="s">
        <v>248</v>
      </c>
      <c r="E2246" s="60" t="s">
        <v>457</v>
      </c>
      <c r="F2246" s="498">
        <v>300.22000000000003</v>
      </c>
      <c r="G2246" s="486" t="s">
        <v>3681</v>
      </c>
      <c r="H2246" s="462" t="s">
        <v>278</v>
      </c>
      <c r="I2246" s="484" t="s">
        <v>668</v>
      </c>
      <c r="J2246" s="487" t="s">
        <v>669</v>
      </c>
      <c r="K2246" s="183"/>
      <c r="L2246" s="183"/>
      <c r="M2246" s="484" t="s">
        <v>3513</v>
      </c>
      <c r="N2246" s="487">
        <v>21052026</v>
      </c>
      <c r="O2246" s="487" t="s">
        <v>2539</v>
      </c>
      <c r="P2246" s="484" t="s">
        <v>1553</v>
      </c>
      <c r="Q2246" s="458"/>
      <c r="R2246" s="459"/>
    </row>
    <row r="2247" spans="1:18" ht="36">
      <c r="A2247" s="493"/>
      <c r="B2247" s="387">
        <v>46191</v>
      </c>
      <c r="C2247" s="388">
        <v>46143</v>
      </c>
      <c r="D2247" s="495" t="s">
        <v>248</v>
      </c>
      <c r="E2247" s="60" t="s">
        <v>457</v>
      </c>
      <c r="F2247" s="498">
        <v>283.8</v>
      </c>
      <c r="G2247" s="486" t="s">
        <v>3682</v>
      </c>
      <c r="H2247" s="462" t="s">
        <v>278</v>
      </c>
      <c r="I2247" s="484" t="s">
        <v>668</v>
      </c>
      <c r="J2247" s="487" t="s">
        <v>669</v>
      </c>
      <c r="K2247" s="183"/>
      <c r="L2247" s="183"/>
      <c r="M2247" s="484" t="s">
        <v>3513</v>
      </c>
      <c r="N2247" s="487">
        <v>22052026</v>
      </c>
      <c r="O2247" s="487" t="s">
        <v>2540</v>
      </c>
      <c r="P2247" s="484" t="s">
        <v>1553</v>
      </c>
      <c r="Q2247" s="458"/>
      <c r="R2247" s="459"/>
    </row>
    <row r="2248" spans="1:18" ht="60">
      <c r="A2248" s="493"/>
      <c r="B2248" s="387">
        <v>46191</v>
      </c>
      <c r="C2248" s="388">
        <v>46143</v>
      </c>
      <c r="D2248" s="495" t="s">
        <v>248</v>
      </c>
      <c r="E2248" s="60" t="s">
        <v>457</v>
      </c>
      <c r="F2248" s="498">
        <v>5445</v>
      </c>
      <c r="G2248" s="486" t="s">
        <v>3683</v>
      </c>
      <c r="H2248" s="462" t="s">
        <v>278</v>
      </c>
      <c r="I2248" s="484" t="s">
        <v>668</v>
      </c>
      <c r="J2248" s="487" t="s">
        <v>669</v>
      </c>
      <c r="K2248" s="183"/>
      <c r="L2248" s="183"/>
      <c r="M2248" s="484" t="s">
        <v>3513</v>
      </c>
      <c r="N2248" s="487">
        <v>17</v>
      </c>
      <c r="O2248" s="487" t="s">
        <v>2544</v>
      </c>
      <c r="P2248" s="484" t="s">
        <v>1553</v>
      </c>
      <c r="Q2248" s="458"/>
      <c r="R2248" s="459"/>
    </row>
    <row r="2249" spans="1:18" ht="72">
      <c r="A2249" s="493"/>
      <c r="B2249" s="387">
        <v>46191</v>
      </c>
      <c r="C2249" s="388">
        <v>46143</v>
      </c>
      <c r="D2249" s="495" t="s">
        <v>248</v>
      </c>
      <c r="E2249" s="484" t="s">
        <v>757</v>
      </c>
      <c r="F2249" s="498">
        <v>45.5</v>
      </c>
      <c r="G2249" s="486" t="s">
        <v>2823</v>
      </c>
      <c r="H2249" s="389" t="s">
        <v>736</v>
      </c>
      <c r="I2249" s="484" t="s">
        <v>672</v>
      </c>
      <c r="J2249" s="487" t="s">
        <v>673</v>
      </c>
      <c r="K2249" s="183"/>
      <c r="L2249" s="183"/>
      <c r="M2249" s="484" t="s">
        <v>723</v>
      </c>
      <c r="N2249" s="487">
        <v>2625</v>
      </c>
      <c r="O2249" s="487" t="s">
        <v>2530</v>
      </c>
      <c r="P2249" s="484" t="s">
        <v>1554</v>
      </c>
      <c r="Q2249" s="458"/>
      <c r="R2249" s="459"/>
    </row>
    <row r="2250" spans="1:18" ht="72">
      <c r="A2250" s="493"/>
      <c r="B2250" s="387">
        <v>46191</v>
      </c>
      <c r="C2250" s="388">
        <v>46143</v>
      </c>
      <c r="D2250" s="495" t="s">
        <v>248</v>
      </c>
      <c r="E2250" s="484" t="s">
        <v>757</v>
      </c>
      <c r="F2250" s="498">
        <v>45.5</v>
      </c>
      <c r="G2250" s="486" t="s">
        <v>2823</v>
      </c>
      <c r="H2250" s="389" t="s">
        <v>736</v>
      </c>
      <c r="I2250" s="484" t="s">
        <v>672</v>
      </c>
      <c r="J2250" s="487" t="s">
        <v>673</v>
      </c>
      <c r="K2250" s="183"/>
      <c r="L2250" s="183"/>
      <c r="M2250" s="484" t="s">
        <v>723</v>
      </c>
      <c r="N2250" s="487">
        <v>2624</v>
      </c>
      <c r="O2250" s="487" t="s">
        <v>2530</v>
      </c>
      <c r="P2250" s="484" t="s">
        <v>1554</v>
      </c>
      <c r="Q2250" s="458"/>
      <c r="R2250" s="459"/>
    </row>
    <row r="2251" spans="1:18" ht="36">
      <c r="A2251" s="493"/>
      <c r="B2251" s="387">
        <v>46191</v>
      </c>
      <c r="C2251" s="388">
        <v>46143</v>
      </c>
      <c r="D2251" s="39" t="s">
        <v>353</v>
      </c>
      <c r="E2251" s="39" t="s">
        <v>153</v>
      </c>
      <c r="F2251" s="498">
        <v>4880</v>
      </c>
      <c r="G2251" s="486" t="s">
        <v>3684</v>
      </c>
      <c r="H2251" s="389" t="s">
        <v>280</v>
      </c>
      <c r="I2251" s="484" t="s">
        <v>3430</v>
      </c>
      <c r="J2251" s="487" t="s">
        <v>3431</v>
      </c>
      <c r="K2251" s="183"/>
      <c r="L2251" s="183"/>
      <c r="M2251" s="484" t="s">
        <v>913</v>
      </c>
      <c r="N2251" s="487">
        <v>15</v>
      </c>
      <c r="O2251" s="487" t="s">
        <v>2541</v>
      </c>
      <c r="P2251" s="484" t="s">
        <v>1553</v>
      </c>
      <c r="Q2251" s="458"/>
      <c r="R2251" s="459"/>
    </row>
    <row r="2252" spans="1:18" ht="36">
      <c r="A2252" s="493"/>
      <c r="B2252" s="387">
        <v>46191</v>
      </c>
      <c r="C2252" s="388">
        <v>46143</v>
      </c>
      <c r="D2252" s="495" t="s">
        <v>248</v>
      </c>
      <c r="E2252" s="60" t="s">
        <v>457</v>
      </c>
      <c r="F2252" s="498">
        <v>146.4</v>
      </c>
      <c r="G2252" s="486" t="s">
        <v>3685</v>
      </c>
      <c r="H2252" s="462" t="s">
        <v>278</v>
      </c>
      <c r="I2252" s="484" t="s">
        <v>668</v>
      </c>
      <c r="J2252" s="487" t="s">
        <v>669</v>
      </c>
      <c r="K2252" s="183"/>
      <c r="L2252" s="183"/>
      <c r="M2252" s="484" t="s">
        <v>3513</v>
      </c>
      <c r="N2252" s="487">
        <v>15</v>
      </c>
      <c r="O2252" s="487" t="s">
        <v>2541</v>
      </c>
      <c r="P2252" s="484" t="s">
        <v>1553</v>
      </c>
      <c r="Q2252" s="458"/>
      <c r="R2252" s="459"/>
    </row>
    <row r="2253" spans="1:18" ht="36">
      <c r="A2253" s="493"/>
      <c r="B2253" s="387">
        <v>46191</v>
      </c>
      <c r="C2253" s="388">
        <v>46143</v>
      </c>
      <c r="D2253" s="39" t="s">
        <v>353</v>
      </c>
      <c r="E2253" s="39" t="s">
        <v>153</v>
      </c>
      <c r="F2253" s="498">
        <v>14640</v>
      </c>
      <c r="G2253" s="486" t="s">
        <v>3686</v>
      </c>
      <c r="H2253" s="389" t="s">
        <v>280</v>
      </c>
      <c r="I2253" s="484" t="s">
        <v>3432</v>
      </c>
      <c r="J2253" s="487" t="s">
        <v>3431</v>
      </c>
      <c r="K2253" s="183"/>
      <c r="L2253" s="183"/>
      <c r="M2253" s="484" t="s">
        <v>707</v>
      </c>
      <c r="N2253" s="487">
        <v>16</v>
      </c>
      <c r="O2253" s="487" t="s">
        <v>2544</v>
      </c>
      <c r="P2253" s="484" t="s">
        <v>3516</v>
      </c>
      <c r="Q2253" s="458"/>
      <c r="R2253" s="459"/>
    </row>
    <row r="2254" spans="1:18" ht="36">
      <c r="A2254" s="493"/>
      <c r="B2254" s="387">
        <v>46191</v>
      </c>
      <c r="C2254" s="388">
        <v>46143</v>
      </c>
      <c r="D2254" s="495" t="s">
        <v>248</v>
      </c>
      <c r="E2254" s="60" t="s">
        <v>457</v>
      </c>
      <c r="F2254" s="498">
        <v>439.2</v>
      </c>
      <c r="G2254" s="486" t="s">
        <v>3687</v>
      </c>
      <c r="H2254" s="462" t="s">
        <v>278</v>
      </c>
      <c r="I2254" s="484" t="s">
        <v>668</v>
      </c>
      <c r="J2254" s="487" t="s">
        <v>669</v>
      </c>
      <c r="K2254" s="183"/>
      <c r="L2254" s="183"/>
      <c r="M2254" s="484" t="s">
        <v>3513</v>
      </c>
      <c r="N2254" s="487">
        <v>16</v>
      </c>
      <c r="O2254" s="487" t="s">
        <v>2544</v>
      </c>
      <c r="P2254" s="484" t="s">
        <v>1553</v>
      </c>
      <c r="Q2254" s="458"/>
      <c r="R2254" s="459"/>
    </row>
    <row r="2255" spans="1:18" ht="24">
      <c r="A2255" s="493"/>
      <c r="B2255" s="387">
        <v>46191</v>
      </c>
      <c r="C2255" s="388">
        <v>46143</v>
      </c>
      <c r="D2255" s="484" t="s">
        <v>166</v>
      </c>
      <c r="E2255" s="484" t="s">
        <v>603</v>
      </c>
      <c r="F2255" s="498">
        <v>78.56</v>
      </c>
      <c r="G2255" s="486" t="s">
        <v>3588</v>
      </c>
      <c r="H2255" s="389" t="s">
        <v>166</v>
      </c>
      <c r="I2255" s="484" t="s">
        <v>668</v>
      </c>
      <c r="J2255" s="487" t="s">
        <v>669</v>
      </c>
      <c r="K2255" s="183"/>
      <c r="L2255" s="183"/>
      <c r="M2255" s="484" t="s">
        <v>724</v>
      </c>
      <c r="N2255" s="487">
        <v>726795</v>
      </c>
      <c r="O2255" s="487" t="s">
        <v>2529</v>
      </c>
      <c r="P2255" s="484" t="s">
        <v>1555</v>
      </c>
      <c r="Q2255" s="458"/>
      <c r="R2255" s="459"/>
    </row>
    <row r="2256" spans="1:18" ht="60">
      <c r="A2256" s="493"/>
      <c r="B2256" s="387">
        <v>46191</v>
      </c>
      <c r="C2256" s="388">
        <v>46143</v>
      </c>
      <c r="D2256" s="495" t="s">
        <v>248</v>
      </c>
      <c r="E2256" s="484" t="s">
        <v>758</v>
      </c>
      <c r="F2256" s="498">
        <v>117.97</v>
      </c>
      <c r="G2256" s="486" t="s">
        <v>2875</v>
      </c>
      <c r="H2256" s="392" t="s">
        <v>738</v>
      </c>
      <c r="I2256" s="484" t="s">
        <v>668</v>
      </c>
      <c r="J2256" s="487" t="s">
        <v>669</v>
      </c>
      <c r="K2256" s="183"/>
      <c r="L2256" s="183"/>
      <c r="M2256" s="484" t="s">
        <v>722</v>
      </c>
      <c r="N2256" s="487">
        <v>335</v>
      </c>
      <c r="O2256" s="487" t="s">
        <v>2538</v>
      </c>
      <c r="P2256" s="484" t="s">
        <v>1554</v>
      </c>
      <c r="Q2256" s="458"/>
      <c r="R2256" s="459"/>
    </row>
    <row r="2257" spans="1:18" ht="60">
      <c r="A2257" s="493"/>
      <c r="B2257" s="387">
        <v>46191</v>
      </c>
      <c r="C2257" s="388">
        <v>46143</v>
      </c>
      <c r="D2257" s="495" t="s">
        <v>248</v>
      </c>
      <c r="E2257" s="484" t="s">
        <v>758</v>
      </c>
      <c r="F2257" s="498">
        <v>1297.6400000000001</v>
      </c>
      <c r="G2257" s="486" t="s">
        <v>2875</v>
      </c>
      <c r="H2257" s="392" t="s">
        <v>738</v>
      </c>
      <c r="I2257" s="484" t="s">
        <v>672</v>
      </c>
      <c r="J2257" s="487" t="s">
        <v>673</v>
      </c>
      <c r="K2257" s="183"/>
      <c r="L2257" s="183"/>
      <c r="M2257" s="484" t="s">
        <v>723</v>
      </c>
      <c r="N2257" s="487">
        <v>335</v>
      </c>
      <c r="O2257" s="487" t="s">
        <v>2538</v>
      </c>
      <c r="P2257" s="484" t="s">
        <v>1554</v>
      </c>
      <c r="Q2257" s="458"/>
      <c r="R2257" s="459"/>
    </row>
    <row r="2258" spans="1:18" ht="96">
      <c r="A2258" s="493"/>
      <c r="B2258" s="387">
        <v>46191</v>
      </c>
      <c r="C2258" s="388">
        <v>46143</v>
      </c>
      <c r="D2258" s="495" t="s">
        <v>248</v>
      </c>
      <c r="E2258" s="60" t="s">
        <v>78</v>
      </c>
      <c r="F2258" s="498">
        <v>44.88</v>
      </c>
      <c r="G2258" s="486" t="s">
        <v>2916</v>
      </c>
      <c r="H2258" s="462" t="s">
        <v>1029</v>
      </c>
      <c r="I2258" s="484" t="s">
        <v>668</v>
      </c>
      <c r="J2258" s="487" t="s">
        <v>669</v>
      </c>
      <c r="K2258" s="183"/>
      <c r="L2258" s="183"/>
      <c r="M2258" s="484" t="s">
        <v>722</v>
      </c>
      <c r="N2258" s="487">
        <v>826</v>
      </c>
      <c r="O2258" s="487" t="s">
        <v>2529</v>
      </c>
      <c r="P2258" s="484" t="s">
        <v>1553</v>
      </c>
      <c r="Q2258" s="458"/>
      <c r="R2258" s="459"/>
    </row>
    <row r="2259" spans="1:18" ht="96">
      <c r="A2259" s="493"/>
      <c r="B2259" s="387">
        <v>46191</v>
      </c>
      <c r="C2259" s="388">
        <v>46143</v>
      </c>
      <c r="D2259" s="495" t="s">
        <v>248</v>
      </c>
      <c r="E2259" s="60" t="s">
        <v>78</v>
      </c>
      <c r="F2259" s="498">
        <v>493.66</v>
      </c>
      <c r="G2259" s="486" t="s">
        <v>2916</v>
      </c>
      <c r="H2259" s="462" t="s">
        <v>1029</v>
      </c>
      <c r="I2259" s="484" t="s">
        <v>672</v>
      </c>
      <c r="J2259" s="487" t="s">
        <v>673</v>
      </c>
      <c r="K2259" s="183"/>
      <c r="L2259" s="183"/>
      <c r="M2259" s="484" t="s">
        <v>723</v>
      </c>
      <c r="N2259" s="487">
        <v>826</v>
      </c>
      <c r="O2259" s="487" t="s">
        <v>2529</v>
      </c>
      <c r="P2259" s="484" t="s">
        <v>1553</v>
      </c>
      <c r="Q2259" s="458"/>
      <c r="R2259" s="459"/>
    </row>
    <row r="2260" spans="1:18" ht="60">
      <c r="A2260" s="493"/>
      <c r="B2260" s="387">
        <v>46191</v>
      </c>
      <c r="C2260" s="388">
        <v>46174</v>
      </c>
      <c r="D2260" s="495" t="s">
        <v>248</v>
      </c>
      <c r="E2260" s="484" t="s">
        <v>1208</v>
      </c>
      <c r="F2260" s="498">
        <v>2800</v>
      </c>
      <c r="G2260" s="486" t="s">
        <v>3634</v>
      </c>
      <c r="H2260" s="462" t="s">
        <v>736</v>
      </c>
      <c r="I2260" s="484" t="s">
        <v>3403</v>
      </c>
      <c r="J2260" s="487" t="s">
        <v>3404</v>
      </c>
      <c r="K2260" s="183"/>
      <c r="L2260" s="183"/>
      <c r="M2260" s="484" t="s">
        <v>707</v>
      </c>
      <c r="N2260" s="487">
        <v>12283</v>
      </c>
      <c r="O2260" s="487" t="s">
        <v>3294</v>
      </c>
      <c r="P2260" s="484" t="s">
        <v>1554</v>
      </c>
      <c r="Q2260" s="458"/>
      <c r="R2260" s="459"/>
    </row>
    <row r="2261" spans="1:18" ht="36">
      <c r="A2261" s="493"/>
      <c r="B2261" s="387">
        <v>46191</v>
      </c>
      <c r="C2261" s="388">
        <v>46143</v>
      </c>
      <c r="D2261" s="495" t="s">
        <v>248</v>
      </c>
      <c r="E2261" s="60" t="s">
        <v>457</v>
      </c>
      <c r="F2261" s="498">
        <v>162.55000000000001</v>
      </c>
      <c r="G2261" s="486" t="s">
        <v>3688</v>
      </c>
      <c r="H2261" s="462" t="s">
        <v>278</v>
      </c>
      <c r="I2261" s="484" t="s">
        <v>668</v>
      </c>
      <c r="J2261" s="487" t="s">
        <v>669</v>
      </c>
      <c r="K2261" s="183"/>
      <c r="L2261" s="183"/>
      <c r="M2261" s="484" t="s">
        <v>3513</v>
      </c>
      <c r="N2261" s="487">
        <v>76285</v>
      </c>
      <c r="O2261" s="487" t="s">
        <v>3486</v>
      </c>
      <c r="P2261" s="484" t="s">
        <v>1553</v>
      </c>
      <c r="Q2261" s="458"/>
      <c r="R2261" s="459"/>
    </row>
    <row r="2262" spans="1:18" ht="36">
      <c r="A2262" s="493"/>
      <c r="B2262" s="387">
        <v>46191</v>
      </c>
      <c r="C2262" s="388">
        <v>46143</v>
      </c>
      <c r="D2262" s="495" t="s">
        <v>248</v>
      </c>
      <c r="E2262" s="60" t="s">
        <v>457</v>
      </c>
      <c r="F2262" s="498">
        <v>2091.6</v>
      </c>
      <c r="G2262" s="486" t="s">
        <v>3689</v>
      </c>
      <c r="H2262" s="462" t="s">
        <v>278</v>
      </c>
      <c r="I2262" s="484" t="s">
        <v>668</v>
      </c>
      <c r="J2262" s="487" t="s">
        <v>669</v>
      </c>
      <c r="K2262" s="183"/>
      <c r="L2262" s="183"/>
      <c r="M2262" s="484" t="s">
        <v>3513</v>
      </c>
      <c r="N2262" s="487">
        <v>52026</v>
      </c>
      <c r="O2262" s="487" t="s">
        <v>3486</v>
      </c>
      <c r="P2262" s="484" t="s">
        <v>1553</v>
      </c>
      <c r="Q2262" s="458"/>
      <c r="R2262" s="459"/>
    </row>
    <row r="2263" spans="1:18" ht="48">
      <c r="A2263" s="493"/>
      <c r="B2263" s="387">
        <v>46191</v>
      </c>
      <c r="C2263" s="388">
        <v>46174</v>
      </c>
      <c r="D2263" s="495" t="s">
        <v>248</v>
      </c>
      <c r="E2263" s="484" t="s">
        <v>607</v>
      </c>
      <c r="F2263" s="498">
        <v>5491</v>
      </c>
      <c r="G2263" s="486" t="s">
        <v>3690</v>
      </c>
      <c r="H2263" s="453" t="s">
        <v>278</v>
      </c>
      <c r="I2263" s="484" t="s">
        <v>747</v>
      </c>
      <c r="J2263" s="487" t="s">
        <v>748</v>
      </c>
      <c r="K2263" s="183"/>
      <c r="L2263" s="183"/>
      <c r="M2263" s="484" t="s">
        <v>708</v>
      </c>
      <c r="N2263" s="487">
        <v>847</v>
      </c>
      <c r="O2263" s="487" t="s">
        <v>3294</v>
      </c>
      <c r="P2263" s="484" t="s">
        <v>1553</v>
      </c>
      <c r="Q2263" s="458"/>
      <c r="R2263" s="459"/>
    </row>
    <row r="2264" spans="1:18" ht="96">
      <c r="A2264" s="493"/>
      <c r="B2264" s="387">
        <v>46191</v>
      </c>
      <c r="C2264" s="388">
        <v>46174</v>
      </c>
      <c r="D2264" s="495" t="s">
        <v>248</v>
      </c>
      <c r="E2264" s="484" t="s">
        <v>598</v>
      </c>
      <c r="F2264" s="498">
        <v>1800</v>
      </c>
      <c r="G2264" s="486" t="s">
        <v>3691</v>
      </c>
      <c r="H2264" s="389" t="s">
        <v>736</v>
      </c>
      <c r="I2264" s="484" t="s">
        <v>2125</v>
      </c>
      <c r="J2264" s="487" t="s">
        <v>2126</v>
      </c>
      <c r="K2264" s="183"/>
      <c r="L2264" s="183"/>
      <c r="M2264" s="484" t="s">
        <v>719</v>
      </c>
      <c r="N2264" s="487">
        <v>13</v>
      </c>
      <c r="O2264" s="487" t="s">
        <v>3490</v>
      </c>
      <c r="P2264" s="484" t="s">
        <v>1554</v>
      </c>
      <c r="Q2264" s="458"/>
      <c r="R2264" s="459"/>
    </row>
    <row r="2265" spans="1:18" ht="36">
      <c r="A2265" s="493"/>
      <c r="B2265" s="387">
        <v>46191</v>
      </c>
      <c r="C2265" s="388">
        <v>46174</v>
      </c>
      <c r="D2265" s="495" t="s">
        <v>248</v>
      </c>
      <c r="E2265" s="60" t="s">
        <v>171</v>
      </c>
      <c r="F2265" s="498">
        <v>260.77999999999997</v>
      </c>
      <c r="G2265" s="486" t="s">
        <v>3692</v>
      </c>
      <c r="H2265" s="389" t="s">
        <v>278</v>
      </c>
      <c r="I2265" s="484" t="s">
        <v>676</v>
      </c>
      <c r="J2265" s="487" t="s">
        <v>677</v>
      </c>
      <c r="K2265" s="183"/>
      <c r="L2265" s="183"/>
      <c r="M2265" s="484" t="s">
        <v>704</v>
      </c>
      <c r="N2265" s="487">
        <v>366</v>
      </c>
      <c r="O2265" s="487" t="s">
        <v>3489</v>
      </c>
      <c r="P2265" s="484" t="s">
        <v>1553</v>
      </c>
      <c r="Q2265" s="458"/>
      <c r="R2265" s="459"/>
    </row>
    <row r="2266" spans="1:18" ht="36">
      <c r="A2266" s="493"/>
      <c r="B2266" s="387">
        <v>46191</v>
      </c>
      <c r="C2266" s="388">
        <v>46174</v>
      </c>
      <c r="D2266" s="495" t="s">
        <v>248</v>
      </c>
      <c r="E2266" s="484" t="s">
        <v>604</v>
      </c>
      <c r="F2266" s="498">
        <v>5400.96</v>
      </c>
      <c r="G2266" s="486" t="s">
        <v>3693</v>
      </c>
      <c r="H2266" s="389" t="s">
        <v>1029</v>
      </c>
      <c r="I2266" s="484" t="s">
        <v>1146</v>
      </c>
      <c r="J2266" s="487" t="s">
        <v>683</v>
      </c>
      <c r="K2266" s="183"/>
      <c r="L2266" s="183"/>
      <c r="M2266" s="484" t="s">
        <v>707</v>
      </c>
      <c r="N2266" s="487">
        <v>1371565</v>
      </c>
      <c r="O2266" s="487" t="s">
        <v>3294</v>
      </c>
      <c r="P2266" s="484" t="s">
        <v>1554</v>
      </c>
      <c r="Q2266" s="458"/>
      <c r="R2266" s="459"/>
    </row>
    <row r="2267" spans="1:18" ht="36">
      <c r="A2267" s="493"/>
      <c r="B2267" s="387">
        <v>46191</v>
      </c>
      <c r="C2267" s="388">
        <v>46143</v>
      </c>
      <c r="D2267" s="495" t="s">
        <v>248</v>
      </c>
      <c r="E2267" s="60" t="s">
        <v>457</v>
      </c>
      <c r="F2267" s="498">
        <v>8.24</v>
      </c>
      <c r="G2267" s="486" t="s">
        <v>3694</v>
      </c>
      <c r="H2267" s="462" t="s">
        <v>278</v>
      </c>
      <c r="I2267" s="484" t="s">
        <v>668</v>
      </c>
      <c r="J2267" s="487" t="s">
        <v>669</v>
      </c>
      <c r="K2267" s="183"/>
      <c r="L2267" s="183"/>
      <c r="M2267" s="484" t="s">
        <v>3513</v>
      </c>
      <c r="N2267" s="487">
        <v>52026</v>
      </c>
      <c r="O2267" s="487" t="s">
        <v>3486</v>
      </c>
      <c r="P2267" s="484" t="s">
        <v>1553</v>
      </c>
      <c r="Q2267" s="458"/>
      <c r="R2267" s="459"/>
    </row>
    <row r="2268" spans="1:18" ht="36">
      <c r="A2268" s="493"/>
      <c r="B2268" s="387">
        <v>46191</v>
      </c>
      <c r="C2268" s="388">
        <v>46174</v>
      </c>
      <c r="D2268" s="495" t="s">
        <v>248</v>
      </c>
      <c r="E2268" s="484" t="s">
        <v>1214</v>
      </c>
      <c r="F2268" s="498">
        <v>214</v>
      </c>
      <c r="G2268" s="486" t="s">
        <v>3695</v>
      </c>
      <c r="H2268" s="389" t="s">
        <v>278</v>
      </c>
      <c r="I2268" s="484" t="s">
        <v>1111</v>
      </c>
      <c r="J2268" s="487" t="s">
        <v>1112</v>
      </c>
      <c r="K2268" s="183"/>
      <c r="L2268" s="183"/>
      <c r="M2268" s="484" t="s">
        <v>708</v>
      </c>
      <c r="N2268" s="487">
        <v>35</v>
      </c>
      <c r="O2268" s="487" t="s">
        <v>3493</v>
      </c>
      <c r="P2268" s="484" t="s">
        <v>1553</v>
      </c>
      <c r="Q2268" s="458"/>
      <c r="R2268" s="459"/>
    </row>
    <row r="2269" spans="1:18" ht="60">
      <c r="A2269" s="493"/>
      <c r="B2269" s="387">
        <v>46191</v>
      </c>
      <c r="C2269" s="388">
        <v>46174</v>
      </c>
      <c r="D2269" s="495" t="s">
        <v>248</v>
      </c>
      <c r="E2269" s="484" t="s">
        <v>598</v>
      </c>
      <c r="F2269" s="498">
        <v>2800</v>
      </c>
      <c r="G2269" s="486" t="s">
        <v>3696</v>
      </c>
      <c r="H2269" s="389" t="s">
        <v>736</v>
      </c>
      <c r="I2269" s="484" t="s">
        <v>3433</v>
      </c>
      <c r="J2269" s="487" t="s">
        <v>3434</v>
      </c>
      <c r="K2269" s="183"/>
      <c r="L2269" s="183"/>
      <c r="M2269" s="484" t="s">
        <v>708</v>
      </c>
      <c r="N2269" s="487">
        <v>81</v>
      </c>
      <c r="O2269" s="487" t="s">
        <v>3493</v>
      </c>
      <c r="P2269" s="484" t="s">
        <v>1553</v>
      </c>
      <c r="Q2269" s="458"/>
      <c r="R2269" s="459"/>
    </row>
    <row r="2270" spans="1:18" ht="36">
      <c r="A2270" s="493"/>
      <c r="B2270" s="387">
        <v>46191</v>
      </c>
      <c r="C2270" s="388">
        <v>46174</v>
      </c>
      <c r="D2270" s="495" t="s">
        <v>248</v>
      </c>
      <c r="E2270" s="484" t="s">
        <v>1550</v>
      </c>
      <c r="F2270" s="498">
        <v>1409.1</v>
      </c>
      <c r="G2270" s="486" t="s">
        <v>3697</v>
      </c>
      <c r="H2270" s="389" t="s">
        <v>736</v>
      </c>
      <c r="I2270" s="484" t="s">
        <v>686</v>
      </c>
      <c r="J2270" s="487" t="s">
        <v>687</v>
      </c>
      <c r="K2270" s="183"/>
      <c r="L2270" s="183"/>
      <c r="M2270" s="484" t="s">
        <v>719</v>
      </c>
      <c r="N2270" s="487">
        <v>6395</v>
      </c>
      <c r="O2270" s="487" t="s">
        <v>3491</v>
      </c>
      <c r="P2270" s="484" t="s">
        <v>1554</v>
      </c>
      <c r="Q2270" s="458"/>
      <c r="R2270" s="459"/>
    </row>
    <row r="2271" spans="1:18" ht="84">
      <c r="A2271" s="493"/>
      <c r="B2271" s="387">
        <v>46191</v>
      </c>
      <c r="C2271" s="388">
        <v>46174</v>
      </c>
      <c r="D2271" s="495" t="s">
        <v>248</v>
      </c>
      <c r="E2271" s="484" t="s">
        <v>2675</v>
      </c>
      <c r="F2271" s="485">
        <v>6303.41</v>
      </c>
      <c r="G2271" s="486" t="s">
        <v>2853</v>
      </c>
      <c r="H2271" s="462" t="s">
        <v>736</v>
      </c>
      <c r="I2271" s="484" t="s">
        <v>2636</v>
      </c>
      <c r="J2271" s="487" t="s">
        <v>2637</v>
      </c>
      <c r="K2271" s="183"/>
      <c r="L2271" s="183"/>
      <c r="M2271" s="484" t="s">
        <v>707</v>
      </c>
      <c r="N2271" s="487">
        <v>18</v>
      </c>
      <c r="O2271" s="487" t="s">
        <v>3493</v>
      </c>
      <c r="P2271" s="484" t="s">
        <v>1556</v>
      </c>
      <c r="Q2271" s="458"/>
      <c r="R2271" s="459"/>
    </row>
    <row r="2272" spans="1:18" ht="24">
      <c r="A2272" s="493"/>
      <c r="B2272" s="387">
        <v>46191</v>
      </c>
      <c r="C2272" s="388">
        <v>46143</v>
      </c>
      <c r="D2272" s="495" t="s">
        <v>248</v>
      </c>
      <c r="E2272" s="484" t="s">
        <v>758</v>
      </c>
      <c r="F2272" s="498">
        <v>39.64</v>
      </c>
      <c r="G2272" s="486" t="s">
        <v>3648</v>
      </c>
      <c r="H2272" s="392" t="s">
        <v>738</v>
      </c>
      <c r="I2272" s="484" t="s">
        <v>668</v>
      </c>
      <c r="J2272" s="487" t="s">
        <v>669</v>
      </c>
      <c r="K2272" s="183"/>
      <c r="L2272" s="183"/>
      <c r="M2272" s="484" t="s">
        <v>722</v>
      </c>
      <c r="N2272" s="487">
        <v>512</v>
      </c>
      <c r="O2272" s="487" t="s">
        <v>2536</v>
      </c>
      <c r="P2272" s="484" t="s">
        <v>1554</v>
      </c>
      <c r="Q2272" s="458"/>
      <c r="R2272" s="459"/>
    </row>
    <row r="2273" spans="1:18" ht="24">
      <c r="A2273" s="493"/>
      <c r="B2273" s="387">
        <v>46191</v>
      </c>
      <c r="C2273" s="388">
        <v>46143</v>
      </c>
      <c r="D2273" s="495" t="s">
        <v>248</v>
      </c>
      <c r="E2273" s="484" t="s">
        <v>758</v>
      </c>
      <c r="F2273" s="498">
        <v>3541.76</v>
      </c>
      <c r="G2273" s="486" t="s">
        <v>3648</v>
      </c>
      <c r="H2273" s="392" t="s">
        <v>738</v>
      </c>
      <c r="I2273" s="484" t="s">
        <v>1048</v>
      </c>
      <c r="J2273" s="487" t="s">
        <v>1049</v>
      </c>
      <c r="K2273" s="183"/>
      <c r="L2273" s="183"/>
      <c r="M2273" s="484" t="s">
        <v>707</v>
      </c>
      <c r="N2273" s="487">
        <v>512</v>
      </c>
      <c r="O2273" s="487" t="s">
        <v>2536</v>
      </c>
      <c r="P2273" s="484" t="s">
        <v>1554</v>
      </c>
      <c r="Q2273" s="458"/>
      <c r="R2273" s="459"/>
    </row>
    <row r="2274" spans="1:18" ht="60">
      <c r="A2274" s="493"/>
      <c r="B2274" s="387">
        <v>46191</v>
      </c>
      <c r="C2274" s="388">
        <v>46143</v>
      </c>
      <c r="D2274" s="495" t="s">
        <v>248</v>
      </c>
      <c r="E2274" s="484" t="s">
        <v>605</v>
      </c>
      <c r="F2274" s="498">
        <v>22.5</v>
      </c>
      <c r="G2274" s="486" t="s">
        <v>2891</v>
      </c>
      <c r="H2274" s="462" t="s">
        <v>278</v>
      </c>
      <c r="I2274" s="484" t="s">
        <v>668</v>
      </c>
      <c r="J2274" s="487" t="s">
        <v>669</v>
      </c>
      <c r="K2274" s="183"/>
      <c r="L2274" s="183"/>
      <c r="M2274" s="484" t="s">
        <v>722</v>
      </c>
      <c r="N2274" s="487">
        <v>9416</v>
      </c>
      <c r="O2274" s="487" t="s">
        <v>2538</v>
      </c>
      <c r="P2274" s="484" t="s">
        <v>1553</v>
      </c>
      <c r="Q2274" s="458"/>
      <c r="R2274" s="459"/>
    </row>
    <row r="2275" spans="1:18" ht="48">
      <c r="A2275" s="493"/>
      <c r="B2275" s="387">
        <v>46191</v>
      </c>
      <c r="C2275" s="388">
        <v>46174</v>
      </c>
      <c r="D2275" s="495" t="s">
        <v>248</v>
      </c>
      <c r="E2275" s="484" t="s">
        <v>610</v>
      </c>
      <c r="F2275" s="498">
        <v>854.41</v>
      </c>
      <c r="G2275" s="486" t="s">
        <v>3698</v>
      </c>
      <c r="H2275" s="389" t="s">
        <v>736</v>
      </c>
      <c r="I2275" s="484" t="s">
        <v>686</v>
      </c>
      <c r="J2275" s="487" t="s">
        <v>687</v>
      </c>
      <c r="K2275" s="183"/>
      <c r="L2275" s="183"/>
      <c r="M2275" s="484" t="s">
        <v>719</v>
      </c>
      <c r="N2275" s="487">
        <v>37644</v>
      </c>
      <c r="O2275" s="487" t="s">
        <v>3490</v>
      </c>
      <c r="P2275" s="484" t="s">
        <v>1554</v>
      </c>
      <c r="Q2275" s="458"/>
      <c r="R2275" s="459"/>
    </row>
    <row r="2276" spans="1:18" ht="36">
      <c r="A2276" s="493"/>
      <c r="B2276" s="387">
        <v>46191</v>
      </c>
      <c r="C2276" s="388">
        <v>46143</v>
      </c>
      <c r="D2276" s="495" t="s">
        <v>248</v>
      </c>
      <c r="E2276" s="60" t="s">
        <v>457</v>
      </c>
      <c r="F2276" s="498">
        <v>655.75</v>
      </c>
      <c r="G2276" s="486" t="s">
        <v>3699</v>
      </c>
      <c r="H2276" s="462" t="s">
        <v>278</v>
      </c>
      <c r="I2276" s="484" t="s">
        <v>668</v>
      </c>
      <c r="J2276" s="487" t="s">
        <v>669</v>
      </c>
      <c r="K2276" s="183"/>
      <c r="L2276" s="183"/>
      <c r="M2276" s="484" t="s">
        <v>3513</v>
      </c>
      <c r="N2276" s="487">
        <v>30052026</v>
      </c>
      <c r="O2276" s="487" t="s">
        <v>3488</v>
      </c>
      <c r="P2276" s="484" t="s">
        <v>1553</v>
      </c>
      <c r="Q2276" s="458"/>
      <c r="R2276" s="459"/>
    </row>
    <row r="2277" spans="1:18" ht="48">
      <c r="A2277" s="493"/>
      <c r="B2277" s="387">
        <v>46191</v>
      </c>
      <c r="C2277" s="388">
        <v>46174</v>
      </c>
      <c r="D2277" s="495" t="s">
        <v>248</v>
      </c>
      <c r="E2277" s="484" t="s">
        <v>594</v>
      </c>
      <c r="F2277" s="498">
        <v>3163.5</v>
      </c>
      <c r="G2277" s="486" t="s">
        <v>3700</v>
      </c>
      <c r="H2277" s="462" t="s">
        <v>736</v>
      </c>
      <c r="I2277" s="484" t="s">
        <v>2135</v>
      </c>
      <c r="J2277" s="487" t="s">
        <v>2136</v>
      </c>
      <c r="K2277" s="183"/>
      <c r="L2277" s="183"/>
      <c r="M2277" s="484" t="s">
        <v>708</v>
      </c>
      <c r="N2277" s="487">
        <v>29</v>
      </c>
      <c r="O2277" s="487" t="s">
        <v>3490</v>
      </c>
      <c r="P2277" s="484" t="s">
        <v>1556</v>
      </c>
      <c r="Q2277" s="458"/>
      <c r="R2277" s="459"/>
    </row>
    <row r="2278" spans="1:18" ht="48">
      <c r="A2278" s="493"/>
      <c r="B2278" s="387">
        <v>46191</v>
      </c>
      <c r="C2278" s="388">
        <v>46174</v>
      </c>
      <c r="D2278" s="495" t="s">
        <v>248</v>
      </c>
      <c r="E2278" s="484" t="s">
        <v>594</v>
      </c>
      <c r="F2278" s="498">
        <v>29526</v>
      </c>
      <c r="G2278" s="486" t="s">
        <v>3700</v>
      </c>
      <c r="H2278" s="462" t="s">
        <v>736</v>
      </c>
      <c r="I2278" s="484" t="s">
        <v>2135</v>
      </c>
      <c r="J2278" s="487" t="s">
        <v>2136</v>
      </c>
      <c r="K2278" s="183"/>
      <c r="L2278" s="183"/>
      <c r="M2278" s="484" t="s">
        <v>708</v>
      </c>
      <c r="N2278" s="487">
        <v>30</v>
      </c>
      <c r="O2278" s="487" t="s">
        <v>3490</v>
      </c>
      <c r="P2278" s="484" t="s">
        <v>1556</v>
      </c>
      <c r="Q2278" s="458"/>
      <c r="R2278" s="459"/>
    </row>
    <row r="2279" spans="1:18" s="439" customFormat="1" ht="42.75" customHeight="1">
      <c r="A2279" s="502"/>
      <c r="B2279" s="503">
        <v>46191</v>
      </c>
      <c r="C2279" s="504">
        <v>46174</v>
      </c>
      <c r="D2279" s="495" t="s">
        <v>248</v>
      </c>
      <c r="E2279" s="513" t="s">
        <v>503</v>
      </c>
      <c r="F2279" s="512">
        <v>8963.25</v>
      </c>
      <c r="G2279" s="507" t="s">
        <v>3849</v>
      </c>
      <c r="H2279" s="439" t="s">
        <v>737</v>
      </c>
      <c r="I2279" s="484" t="s">
        <v>2135</v>
      </c>
      <c r="J2279" s="487" t="s">
        <v>2136</v>
      </c>
      <c r="K2279" s="510"/>
      <c r="L2279" s="510"/>
      <c r="M2279" s="484" t="s">
        <v>708</v>
      </c>
      <c r="N2279" s="509">
        <v>33</v>
      </c>
      <c r="O2279" s="566">
        <v>46185</v>
      </c>
      <c r="P2279" s="484" t="s">
        <v>1554</v>
      </c>
      <c r="Q2279" s="505"/>
      <c r="R2279" s="511"/>
    </row>
    <row r="2280" spans="1:18" s="439" customFormat="1" ht="24">
      <c r="A2280" s="502"/>
      <c r="B2280" s="503">
        <v>46191</v>
      </c>
      <c r="C2280" s="504">
        <v>46143</v>
      </c>
      <c r="D2280" s="495" t="s">
        <v>248</v>
      </c>
      <c r="E2280" s="513" t="s">
        <v>460</v>
      </c>
      <c r="F2280" s="515">
        <v>8550</v>
      </c>
      <c r="G2280" s="507"/>
      <c r="H2280" s="392" t="s">
        <v>278</v>
      </c>
      <c r="I2280" s="506"/>
      <c r="J2280" s="509"/>
      <c r="K2280" s="510"/>
      <c r="L2280" s="510"/>
      <c r="M2280" s="506"/>
      <c r="N2280" s="509"/>
      <c r="O2280" s="509"/>
      <c r="P2280" s="484" t="s">
        <v>1554</v>
      </c>
      <c r="Q2280" s="505"/>
      <c r="R2280" s="511"/>
    </row>
    <row r="2281" spans="1:18" ht="48">
      <c r="A2281" s="493"/>
      <c r="B2281" s="387">
        <v>46191</v>
      </c>
      <c r="C2281" s="388">
        <v>46174</v>
      </c>
      <c r="D2281" s="495" t="s">
        <v>248</v>
      </c>
      <c r="E2281" s="484" t="s">
        <v>610</v>
      </c>
      <c r="F2281" s="498">
        <v>1440.22</v>
      </c>
      <c r="G2281" s="486" t="s">
        <v>3701</v>
      </c>
      <c r="H2281" s="389" t="s">
        <v>736</v>
      </c>
      <c r="I2281" s="484" t="s">
        <v>686</v>
      </c>
      <c r="J2281" s="487" t="s">
        <v>687</v>
      </c>
      <c r="K2281" s="183"/>
      <c r="L2281" s="183"/>
      <c r="M2281" s="484" t="s">
        <v>719</v>
      </c>
      <c r="N2281" s="487">
        <v>37645</v>
      </c>
      <c r="O2281" s="487" t="s">
        <v>3490</v>
      </c>
      <c r="P2281" s="484" t="s">
        <v>1554</v>
      </c>
      <c r="Q2281" s="458"/>
      <c r="R2281" s="459"/>
    </row>
    <row r="2282" spans="1:18" ht="60">
      <c r="A2282" s="493"/>
      <c r="B2282" s="387">
        <v>46191</v>
      </c>
      <c r="C2282" s="388">
        <v>46174</v>
      </c>
      <c r="D2282" s="495" t="s">
        <v>248</v>
      </c>
      <c r="E2282" s="60" t="s">
        <v>78</v>
      </c>
      <c r="F2282" s="498">
        <v>1567</v>
      </c>
      <c r="G2282" s="486" t="s">
        <v>3702</v>
      </c>
      <c r="H2282" s="462" t="s">
        <v>736</v>
      </c>
      <c r="I2282" s="484" t="s">
        <v>754</v>
      </c>
      <c r="J2282" s="487" t="s">
        <v>755</v>
      </c>
      <c r="K2282" s="183"/>
      <c r="L2282" s="183"/>
      <c r="M2282" s="484" t="s">
        <v>708</v>
      </c>
      <c r="N2282" s="487">
        <v>40</v>
      </c>
      <c r="O2282" s="487" t="s">
        <v>3491</v>
      </c>
      <c r="P2282" s="484" t="s">
        <v>1553</v>
      </c>
      <c r="Q2282" s="458"/>
      <c r="R2282" s="459"/>
    </row>
    <row r="2283" spans="1:18" ht="60">
      <c r="A2283" s="493"/>
      <c r="B2283" s="387">
        <v>46191</v>
      </c>
      <c r="C2283" s="388">
        <v>46174</v>
      </c>
      <c r="D2283" s="495" t="s">
        <v>248</v>
      </c>
      <c r="E2283" s="484" t="s">
        <v>607</v>
      </c>
      <c r="F2283" s="498">
        <v>3600</v>
      </c>
      <c r="G2283" s="486" t="s">
        <v>2860</v>
      </c>
      <c r="H2283" s="453" t="s">
        <v>736</v>
      </c>
      <c r="I2283" s="484" t="s">
        <v>2642</v>
      </c>
      <c r="J2283" s="487" t="s">
        <v>2643</v>
      </c>
      <c r="K2283" s="183"/>
      <c r="L2283" s="183"/>
      <c r="M2283" s="484" t="s">
        <v>708</v>
      </c>
      <c r="N2283" s="487">
        <v>4594</v>
      </c>
      <c r="O2283" s="487" t="s">
        <v>3493</v>
      </c>
      <c r="P2283" s="484" t="s">
        <v>1553</v>
      </c>
      <c r="Q2283" s="458"/>
      <c r="R2283" s="459"/>
    </row>
    <row r="2284" spans="1:18" ht="60">
      <c r="A2284" s="493"/>
      <c r="B2284" s="387">
        <v>46191</v>
      </c>
      <c r="C2284" s="388">
        <v>46174</v>
      </c>
      <c r="D2284" s="495" t="s">
        <v>248</v>
      </c>
      <c r="E2284" s="484" t="s">
        <v>608</v>
      </c>
      <c r="F2284" s="498">
        <v>85.36</v>
      </c>
      <c r="G2284" s="486" t="s">
        <v>3703</v>
      </c>
      <c r="H2284" s="389" t="s">
        <v>1029</v>
      </c>
      <c r="I2284" s="484" t="s">
        <v>645</v>
      </c>
      <c r="J2284" s="487" t="s">
        <v>646</v>
      </c>
      <c r="K2284" s="183"/>
      <c r="L2284" s="183"/>
      <c r="M2284" s="484" t="s">
        <v>3514</v>
      </c>
      <c r="N2284" s="487">
        <v>12806</v>
      </c>
      <c r="O2284" s="487" t="s">
        <v>3295</v>
      </c>
      <c r="P2284" s="484" t="s">
        <v>1553</v>
      </c>
      <c r="Q2284" s="458"/>
      <c r="R2284" s="459"/>
    </row>
    <row r="2285" spans="1:18" ht="60">
      <c r="A2285" s="493"/>
      <c r="B2285" s="387">
        <v>46191</v>
      </c>
      <c r="C2285" s="388">
        <v>46174</v>
      </c>
      <c r="D2285" s="495" t="s">
        <v>248</v>
      </c>
      <c r="E2285" s="484" t="s">
        <v>608</v>
      </c>
      <c r="F2285" s="498">
        <v>2.5499999999999998</v>
      </c>
      <c r="G2285" s="486" t="s">
        <v>3703</v>
      </c>
      <c r="H2285" s="389" t="s">
        <v>1029</v>
      </c>
      <c r="I2285" s="484" t="s">
        <v>645</v>
      </c>
      <c r="J2285" s="487" t="s">
        <v>646</v>
      </c>
      <c r="K2285" s="183"/>
      <c r="L2285" s="183"/>
      <c r="M2285" s="484" t="s">
        <v>708</v>
      </c>
      <c r="N2285" s="487">
        <v>1292026</v>
      </c>
      <c r="O2285" s="487" t="s">
        <v>3295</v>
      </c>
      <c r="P2285" s="484" t="s">
        <v>1553</v>
      </c>
      <c r="Q2285" s="458"/>
      <c r="R2285" s="459"/>
    </row>
    <row r="2286" spans="1:18" ht="36">
      <c r="A2286" s="493"/>
      <c r="B2286" s="387">
        <v>46191</v>
      </c>
      <c r="C2286" s="388">
        <v>46174</v>
      </c>
      <c r="D2286" s="495" t="s">
        <v>248</v>
      </c>
      <c r="E2286" s="484" t="s">
        <v>591</v>
      </c>
      <c r="F2286" s="498">
        <v>2449.75</v>
      </c>
      <c r="G2286" s="486" t="s">
        <v>3704</v>
      </c>
      <c r="H2286" s="462" t="s">
        <v>736</v>
      </c>
      <c r="I2286" s="484" t="s">
        <v>3435</v>
      </c>
      <c r="J2286" s="487" t="s">
        <v>3436</v>
      </c>
      <c r="K2286" s="183"/>
      <c r="L2286" s="183"/>
      <c r="M2286" s="484" t="s">
        <v>707</v>
      </c>
      <c r="N2286" s="487">
        <v>29</v>
      </c>
      <c r="O2286" s="487" t="s">
        <v>3295</v>
      </c>
      <c r="P2286" s="484" t="s">
        <v>1554</v>
      </c>
      <c r="Q2286" s="458"/>
      <c r="R2286" s="459"/>
    </row>
    <row r="2287" spans="1:18" ht="48">
      <c r="A2287" s="493"/>
      <c r="B2287" s="387">
        <v>46191</v>
      </c>
      <c r="C2287" s="388">
        <v>46174</v>
      </c>
      <c r="D2287" s="495" t="s">
        <v>248</v>
      </c>
      <c r="E2287" s="484" t="s">
        <v>1208</v>
      </c>
      <c r="F2287" s="498">
        <v>1600</v>
      </c>
      <c r="G2287" s="486" t="s">
        <v>3705</v>
      </c>
      <c r="H2287" s="462" t="s">
        <v>736</v>
      </c>
      <c r="I2287" s="484" t="s">
        <v>3437</v>
      </c>
      <c r="J2287" s="487" t="s">
        <v>3438</v>
      </c>
      <c r="K2287" s="183"/>
      <c r="L2287" s="183"/>
      <c r="M2287" s="484" t="s">
        <v>708</v>
      </c>
      <c r="N2287" s="487">
        <v>61931</v>
      </c>
      <c r="O2287" s="487" t="s">
        <v>3490</v>
      </c>
      <c r="P2287" s="484" t="s">
        <v>1553</v>
      </c>
      <c r="Q2287" s="458"/>
      <c r="R2287" s="459"/>
    </row>
    <row r="2288" spans="1:18" ht="60">
      <c r="A2288" s="493"/>
      <c r="B2288" s="387">
        <v>46191</v>
      </c>
      <c r="C2288" s="388">
        <v>46174</v>
      </c>
      <c r="D2288" s="495" t="s">
        <v>248</v>
      </c>
      <c r="E2288" s="484" t="s">
        <v>1552</v>
      </c>
      <c r="F2288" s="498">
        <v>19598</v>
      </c>
      <c r="G2288" s="486" t="s">
        <v>3706</v>
      </c>
      <c r="H2288" s="389" t="s">
        <v>736</v>
      </c>
      <c r="I2288" s="484" t="s">
        <v>3439</v>
      </c>
      <c r="J2288" s="487" t="s">
        <v>3440</v>
      </c>
      <c r="K2288" s="183"/>
      <c r="L2288" s="183"/>
      <c r="M2288" s="484" t="s">
        <v>707</v>
      </c>
      <c r="N2288" s="487">
        <v>197</v>
      </c>
      <c r="O2288" s="487" t="s">
        <v>3295</v>
      </c>
      <c r="P2288" s="484" t="s">
        <v>1554</v>
      </c>
      <c r="Q2288" s="458"/>
      <c r="R2288" s="459"/>
    </row>
    <row r="2289" spans="1:18" ht="60">
      <c r="A2289" s="493"/>
      <c r="B2289" s="387">
        <v>46191</v>
      </c>
      <c r="C2289" s="388">
        <v>46174</v>
      </c>
      <c r="D2289" s="495" t="s">
        <v>248</v>
      </c>
      <c r="E2289" s="484" t="s">
        <v>608</v>
      </c>
      <c r="F2289" s="498">
        <v>8</v>
      </c>
      <c r="G2289" s="486" t="s">
        <v>3703</v>
      </c>
      <c r="H2289" s="389" t="s">
        <v>1029</v>
      </c>
      <c r="I2289" s="484" t="s">
        <v>645</v>
      </c>
      <c r="J2289" s="487" t="s">
        <v>646</v>
      </c>
      <c r="K2289" s="183"/>
      <c r="L2289" s="183"/>
      <c r="M2289" s="484" t="s">
        <v>708</v>
      </c>
      <c r="N2289" s="487">
        <v>2160</v>
      </c>
      <c r="O2289" s="487" t="s">
        <v>3295</v>
      </c>
      <c r="P2289" s="484" t="s">
        <v>1553</v>
      </c>
      <c r="Q2289" s="458"/>
      <c r="R2289" s="459"/>
    </row>
    <row r="2290" spans="1:18" ht="60">
      <c r="A2290" s="493"/>
      <c r="B2290" s="387">
        <v>46191</v>
      </c>
      <c r="C2290" s="388">
        <v>46174</v>
      </c>
      <c r="D2290" s="495" t="s">
        <v>248</v>
      </c>
      <c r="E2290" s="484" t="s">
        <v>608</v>
      </c>
      <c r="F2290" s="498">
        <v>160.16</v>
      </c>
      <c r="G2290" s="486" t="s">
        <v>3703</v>
      </c>
      <c r="H2290" s="389" t="s">
        <v>1029</v>
      </c>
      <c r="I2290" s="484" t="s">
        <v>645</v>
      </c>
      <c r="J2290" s="487" t="s">
        <v>646</v>
      </c>
      <c r="K2290" s="183"/>
      <c r="L2290" s="183"/>
      <c r="M2290" s="484" t="s">
        <v>708</v>
      </c>
      <c r="N2290" s="487">
        <v>2163</v>
      </c>
      <c r="O2290" s="487" t="s">
        <v>3295</v>
      </c>
      <c r="P2290" s="484" t="s">
        <v>1553</v>
      </c>
      <c r="Q2290" s="458"/>
      <c r="R2290" s="459"/>
    </row>
    <row r="2291" spans="1:18" ht="72">
      <c r="A2291" s="493"/>
      <c r="B2291" s="387">
        <v>46191</v>
      </c>
      <c r="C2291" s="388">
        <v>46174</v>
      </c>
      <c r="D2291" s="495" t="s">
        <v>248</v>
      </c>
      <c r="E2291" s="484" t="s">
        <v>1213</v>
      </c>
      <c r="F2291" s="498">
        <v>5500</v>
      </c>
      <c r="G2291" s="486" t="s">
        <v>2922</v>
      </c>
      <c r="H2291" s="462" t="s">
        <v>736</v>
      </c>
      <c r="I2291" s="484" t="s">
        <v>2666</v>
      </c>
      <c r="J2291" s="487" t="s">
        <v>2667</v>
      </c>
      <c r="K2291" s="183"/>
      <c r="L2291" s="183"/>
      <c r="M2291" s="484" t="s">
        <v>708</v>
      </c>
      <c r="N2291" s="487">
        <v>2</v>
      </c>
      <c r="O2291" s="487" t="s">
        <v>3295</v>
      </c>
      <c r="P2291" s="484" t="s">
        <v>1553</v>
      </c>
      <c r="Q2291" s="458"/>
      <c r="R2291" s="459"/>
    </row>
    <row r="2292" spans="1:18" ht="36">
      <c r="A2292" s="493"/>
      <c r="B2292" s="387">
        <v>46191</v>
      </c>
      <c r="C2292" s="388">
        <v>46174</v>
      </c>
      <c r="D2292" s="495" t="s">
        <v>248</v>
      </c>
      <c r="E2292" s="484" t="s">
        <v>1551</v>
      </c>
      <c r="F2292" s="498">
        <v>1016</v>
      </c>
      <c r="G2292" s="486" t="s">
        <v>3707</v>
      </c>
      <c r="H2292" s="389" t="s">
        <v>737</v>
      </c>
      <c r="I2292" s="484" t="s">
        <v>1477</v>
      </c>
      <c r="J2292" s="487" t="s">
        <v>1478</v>
      </c>
      <c r="K2292" s="183"/>
      <c r="L2292" s="183"/>
      <c r="M2292" s="484" t="s">
        <v>707</v>
      </c>
      <c r="N2292" s="487">
        <v>65</v>
      </c>
      <c r="O2292" s="487" t="s">
        <v>3495</v>
      </c>
      <c r="P2292" s="484" t="s">
        <v>1554</v>
      </c>
      <c r="Q2292" s="458"/>
      <c r="R2292" s="459"/>
    </row>
    <row r="2293" spans="1:18" ht="36">
      <c r="A2293" s="493"/>
      <c r="B2293" s="387">
        <v>46191</v>
      </c>
      <c r="C2293" s="388">
        <v>46174</v>
      </c>
      <c r="D2293" s="495" t="s">
        <v>248</v>
      </c>
      <c r="E2293" s="484" t="s">
        <v>802</v>
      </c>
      <c r="F2293" s="498">
        <v>800</v>
      </c>
      <c r="G2293" s="486" t="s">
        <v>3708</v>
      </c>
      <c r="H2293" s="389" t="s">
        <v>737</v>
      </c>
      <c r="I2293" s="484" t="s">
        <v>2638</v>
      </c>
      <c r="J2293" s="487" t="s">
        <v>2639</v>
      </c>
      <c r="K2293" s="183"/>
      <c r="L2293" s="183"/>
      <c r="M2293" s="484" t="s">
        <v>707</v>
      </c>
      <c r="N2293" s="487">
        <v>98</v>
      </c>
      <c r="O2293" s="487" t="s">
        <v>3498</v>
      </c>
      <c r="P2293" s="484" t="s">
        <v>1554</v>
      </c>
      <c r="Q2293" s="458"/>
      <c r="R2293" s="459"/>
    </row>
    <row r="2294" spans="1:18" ht="108">
      <c r="A2294" s="493"/>
      <c r="B2294" s="387">
        <v>46191</v>
      </c>
      <c r="C2294" s="388">
        <v>46174</v>
      </c>
      <c r="D2294" s="495" t="s">
        <v>248</v>
      </c>
      <c r="E2294" s="484" t="s">
        <v>607</v>
      </c>
      <c r="F2294" s="498">
        <v>1161</v>
      </c>
      <c r="G2294" s="486" t="s">
        <v>3709</v>
      </c>
      <c r="H2294" s="453" t="s">
        <v>736</v>
      </c>
      <c r="I2294" s="484" t="s">
        <v>688</v>
      </c>
      <c r="J2294" s="487" t="s">
        <v>689</v>
      </c>
      <c r="K2294" s="183"/>
      <c r="L2294" s="183"/>
      <c r="M2294" s="484" t="s">
        <v>708</v>
      </c>
      <c r="N2294" s="487">
        <v>2963</v>
      </c>
      <c r="O2294" s="487" t="s">
        <v>3490</v>
      </c>
      <c r="P2294" s="484" t="s">
        <v>1553</v>
      </c>
      <c r="Q2294" s="458"/>
      <c r="R2294" s="459"/>
    </row>
    <row r="2295" spans="1:18" ht="72">
      <c r="A2295" s="493"/>
      <c r="B2295" s="387">
        <v>46191</v>
      </c>
      <c r="C2295" s="388">
        <v>46174</v>
      </c>
      <c r="D2295" s="495" t="s">
        <v>248</v>
      </c>
      <c r="E2295" s="484" t="s">
        <v>3515</v>
      </c>
      <c r="F2295" s="498">
        <v>1000</v>
      </c>
      <c r="G2295" s="486" t="s">
        <v>3710</v>
      </c>
      <c r="H2295" s="462" t="s">
        <v>736</v>
      </c>
      <c r="I2295" s="484" t="s">
        <v>3441</v>
      </c>
      <c r="J2295" s="487" t="s">
        <v>3442</v>
      </c>
      <c r="K2295" s="183"/>
      <c r="L2295" s="183"/>
      <c r="M2295" s="484" t="s">
        <v>707</v>
      </c>
      <c r="N2295" s="487">
        <v>264</v>
      </c>
      <c r="O2295" s="487" t="s">
        <v>3495</v>
      </c>
      <c r="P2295" s="484" t="s">
        <v>1554</v>
      </c>
      <c r="Q2295" s="458"/>
      <c r="R2295" s="459"/>
    </row>
    <row r="2296" spans="1:18" ht="72">
      <c r="A2296" s="493"/>
      <c r="B2296" s="387">
        <v>46191</v>
      </c>
      <c r="C2296" s="388">
        <v>46174</v>
      </c>
      <c r="D2296" s="495" t="s">
        <v>248</v>
      </c>
      <c r="E2296" s="484" t="s">
        <v>3515</v>
      </c>
      <c r="F2296" s="498">
        <v>800</v>
      </c>
      <c r="G2296" s="486" t="s">
        <v>3710</v>
      </c>
      <c r="H2296" s="462" t="s">
        <v>736</v>
      </c>
      <c r="I2296" s="484" t="s">
        <v>3441</v>
      </c>
      <c r="J2296" s="487" t="s">
        <v>3442</v>
      </c>
      <c r="K2296" s="183"/>
      <c r="L2296" s="183"/>
      <c r="M2296" s="484" t="s">
        <v>708</v>
      </c>
      <c r="N2296" s="487">
        <v>265</v>
      </c>
      <c r="O2296" s="487" t="s">
        <v>3495</v>
      </c>
      <c r="P2296" s="484" t="s">
        <v>1556</v>
      </c>
      <c r="Q2296" s="458"/>
      <c r="R2296" s="459"/>
    </row>
    <row r="2297" spans="1:18" ht="72">
      <c r="A2297" s="493"/>
      <c r="B2297" s="387">
        <v>46191</v>
      </c>
      <c r="C2297" s="388">
        <v>46174</v>
      </c>
      <c r="D2297" s="495" t="s">
        <v>248</v>
      </c>
      <c r="E2297" s="484" t="s">
        <v>780</v>
      </c>
      <c r="F2297" s="498">
        <v>2580</v>
      </c>
      <c r="G2297" s="486" t="s">
        <v>3711</v>
      </c>
      <c r="H2297" s="462" t="s">
        <v>736</v>
      </c>
      <c r="I2297" s="484" t="s">
        <v>3441</v>
      </c>
      <c r="J2297" s="487" t="s">
        <v>3442</v>
      </c>
      <c r="K2297" s="183"/>
      <c r="L2297" s="183"/>
      <c r="M2297" s="484" t="s">
        <v>708</v>
      </c>
      <c r="N2297" s="487">
        <v>266</v>
      </c>
      <c r="O2297" s="487" t="s">
        <v>3495</v>
      </c>
      <c r="P2297" s="484" t="s">
        <v>1556</v>
      </c>
      <c r="Q2297" s="458"/>
      <c r="R2297" s="459"/>
    </row>
    <row r="2298" spans="1:18" ht="72">
      <c r="A2298" s="493"/>
      <c r="B2298" s="387">
        <v>46191</v>
      </c>
      <c r="C2298" s="388">
        <v>46174</v>
      </c>
      <c r="D2298" s="495" t="s">
        <v>248</v>
      </c>
      <c r="E2298" s="484" t="s">
        <v>3515</v>
      </c>
      <c r="F2298" s="498">
        <v>1000</v>
      </c>
      <c r="G2298" s="486" t="s">
        <v>3710</v>
      </c>
      <c r="H2298" s="462" t="s">
        <v>736</v>
      </c>
      <c r="I2298" s="484" t="s">
        <v>3441</v>
      </c>
      <c r="J2298" s="487" t="s">
        <v>3442</v>
      </c>
      <c r="K2298" s="183"/>
      <c r="L2298" s="183"/>
      <c r="M2298" s="484" t="s">
        <v>708</v>
      </c>
      <c r="N2298" s="487">
        <v>267</v>
      </c>
      <c r="O2298" s="487" t="s">
        <v>3495</v>
      </c>
      <c r="P2298" s="484" t="s">
        <v>1556</v>
      </c>
      <c r="Q2298" s="458"/>
      <c r="R2298" s="459"/>
    </row>
    <row r="2299" spans="1:18" ht="36">
      <c r="A2299" s="493"/>
      <c r="B2299" s="387">
        <v>46191</v>
      </c>
      <c r="C2299" s="388">
        <v>46174</v>
      </c>
      <c r="D2299" s="495" t="s">
        <v>248</v>
      </c>
      <c r="E2299" s="60" t="s">
        <v>78</v>
      </c>
      <c r="F2299" s="498">
        <v>784</v>
      </c>
      <c r="G2299" s="486" t="s">
        <v>3712</v>
      </c>
      <c r="H2299" s="462" t="s">
        <v>736</v>
      </c>
      <c r="I2299" s="484" t="s">
        <v>3443</v>
      </c>
      <c r="J2299" s="487" t="s">
        <v>3444</v>
      </c>
      <c r="K2299" s="183"/>
      <c r="L2299" s="183"/>
      <c r="M2299" s="484" t="s">
        <v>708</v>
      </c>
      <c r="N2299" s="487">
        <v>22</v>
      </c>
      <c r="O2299" s="487" t="s">
        <v>3485</v>
      </c>
      <c r="P2299" s="484" t="s">
        <v>1553</v>
      </c>
      <c r="Q2299" s="458"/>
      <c r="R2299" s="459"/>
    </row>
    <row r="2300" spans="1:18" ht="48">
      <c r="A2300" s="493"/>
      <c r="B2300" s="387">
        <v>46191</v>
      </c>
      <c r="C2300" s="388">
        <v>46174</v>
      </c>
      <c r="D2300" s="495" t="s">
        <v>248</v>
      </c>
      <c r="E2300" s="484" t="s">
        <v>2676</v>
      </c>
      <c r="F2300" s="498">
        <v>7020</v>
      </c>
      <c r="G2300" s="486" t="s">
        <v>2924</v>
      </c>
      <c r="H2300" s="462" t="s">
        <v>736</v>
      </c>
      <c r="I2300" s="484" t="s">
        <v>2668</v>
      </c>
      <c r="J2300" s="487" t="s">
        <v>2669</v>
      </c>
      <c r="K2300" s="183"/>
      <c r="L2300" s="183"/>
      <c r="M2300" s="484" t="s">
        <v>708</v>
      </c>
      <c r="N2300" s="487">
        <v>27</v>
      </c>
      <c r="O2300" s="487" t="s">
        <v>3495</v>
      </c>
      <c r="P2300" s="484" t="s">
        <v>1556</v>
      </c>
      <c r="Q2300" s="458"/>
      <c r="R2300" s="459"/>
    </row>
    <row r="2301" spans="1:18" ht="60">
      <c r="A2301" s="493"/>
      <c r="B2301" s="387">
        <v>46191</v>
      </c>
      <c r="C2301" s="388">
        <v>46174</v>
      </c>
      <c r="D2301" s="495" t="s">
        <v>248</v>
      </c>
      <c r="E2301" s="484" t="s">
        <v>2676</v>
      </c>
      <c r="F2301" s="498">
        <v>2282.16</v>
      </c>
      <c r="G2301" s="486" t="s">
        <v>3713</v>
      </c>
      <c r="H2301" s="462" t="s">
        <v>736</v>
      </c>
      <c r="I2301" s="484" t="s">
        <v>2668</v>
      </c>
      <c r="J2301" s="487" t="s">
        <v>2669</v>
      </c>
      <c r="K2301" s="183"/>
      <c r="L2301" s="183"/>
      <c r="M2301" s="484" t="s">
        <v>708</v>
      </c>
      <c r="N2301" s="487">
        <v>30</v>
      </c>
      <c r="O2301" s="487" t="s">
        <v>3495</v>
      </c>
      <c r="P2301" s="484" t="s">
        <v>1556</v>
      </c>
      <c r="Q2301" s="458"/>
      <c r="R2301" s="459"/>
    </row>
    <row r="2302" spans="1:18" ht="60">
      <c r="A2302" s="493"/>
      <c r="B2302" s="387">
        <v>46191</v>
      </c>
      <c r="C2302" s="388">
        <v>46174</v>
      </c>
      <c r="D2302" s="495" t="s">
        <v>248</v>
      </c>
      <c r="E2302" s="484" t="s">
        <v>2676</v>
      </c>
      <c r="F2302" s="498">
        <v>45600</v>
      </c>
      <c r="G2302" s="486" t="s">
        <v>3713</v>
      </c>
      <c r="H2302" s="462" t="s">
        <v>736</v>
      </c>
      <c r="I2302" s="484" t="s">
        <v>2668</v>
      </c>
      <c r="J2302" s="487" t="s">
        <v>2669</v>
      </c>
      <c r="K2302" s="183"/>
      <c r="L2302" s="183"/>
      <c r="M2302" s="484" t="s">
        <v>708</v>
      </c>
      <c r="N2302" s="487">
        <v>30</v>
      </c>
      <c r="O2302" s="487" t="s">
        <v>3495</v>
      </c>
      <c r="P2302" s="484" t="s">
        <v>1556</v>
      </c>
      <c r="Q2302" s="458"/>
      <c r="R2302" s="459"/>
    </row>
    <row r="2303" spans="1:18" ht="60">
      <c r="A2303" s="493"/>
      <c r="B2303" s="387">
        <v>46191</v>
      </c>
      <c r="C2303" s="388">
        <v>46174</v>
      </c>
      <c r="D2303" s="495" t="s">
        <v>248</v>
      </c>
      <c r="E2303" s="484" t="s">
        <v>2675</v>
      </c>
      <c r="F2303" s="498">
        <v>290</v>
      </c>
      <c r="G2303" s="486" t="s">
        <v>3714</v>
      </c>
      <c r="H2303" s="462" t="s">
        <v>736</v>
      </c>
      <c r="I2303" s="484" t="s">
        <v>1461</v>
      </c>
      <c r="J2303" s="487" t="s">
        <v>1462</v>
      </c>
      <c r="K2303" s="183"/>
      <c r="L2303" s="183"/>
      <c r="M2303" s="484" t="s">
        <v>708</v>
      </c>
      <c r="N2303" s="487">
        <v>67</v>
      </c>
      <c r="O2303" s="487" t="s">
        <v>3495</v>
      </c>
      <c r="P2303" s="484" t="s">
        <v>1553</v>
      </c>
      <c r="Q2303" s="458"/>
      <c r="R2303" s="459"/>
    </row>
    <row r="2304" spans="1:18" ht="36">
      <c r="A2304" s="493"/>
      <c r="B2304" s="387">
        <v>46191</v>
      </c>
      <c r="C2304" s="388">
        <v>46174</v>
      </c>
      <c r="D2304" s="495" t="s">
        <v>248</v>
      </c>
      <c r="E2304" s="484" t="s">
        <v>599</v>
      </c>
      <c r="F2304" s="498">
        <v>470</v>
      </c>
      <c r="G2304" s="486" t="s">
        <v>3715</v>
      </c>
      <c r="H2304" s="389" t="s">
        <v>278</v>
      </c>
      <c r="I2304" s="484" t="s">
        <v>1461</v>
      </c>
      <c r="J2304" s="487" t="s">
        <v>1462</v>
      </c>
      <c r="K2304" s="183"/>
      <c r="L2304" s="183"/>
      <c r="M2304" s="484" t="s">
        <v>913</v>
      </c>
      <c r="N2304" s="487">
        <v>66</v>
      </c>
      <c r="O2304" s="487" t="s">
        <v>3495</v>
      </c>
      <c r="P2304" s="484" t="s">
        <v>1553</v>
      </c>
      <c r="Q2304" s="458"/>
      <c r="R2304" s="459"/>
    </row>
    <row r="2305" spans="1:18" ht="36">
      <c r="A2305" s="493"/>
      <c r="B2305" s="387">
        <v>46191</v>
      </c>
      <c r="C2305" s="388">
        <v>46174</v>
      </c>
      <c r="D2305" s="495" t="s">
        <v>248</v>
      </c>
      <c r="E2305" s="484" t="s">
        <v>599</v>
      </c>
      <c r="F2305" s="498">
        <v>2353.2399999999998</v>
      </c>
      <c r="G2305" s="486" t="s">
        <v>3716</v>
      </c>
      <c r="H2305" s="389" t="s">
        <v>736</v>
      </c>
      <c r="I2305" s="484" t="s">
        <v>1461</v>
      </c>
      <c r="J2305" s="487" t="s">
        <v>1462</v>
      </c>
      <c r="K2305" s="183"/>
      <c r="L2305" s="183"/>
      <c r="M2305" s="484" t="s">
        <v>708</v>
      </c>
      <c r="N2305" s="487">
        <v>65</v>
      </c>
      <c r="O2305" s="487" t="s">
        <v>3495</v>
      </c>
      <c r="P2305" s="484" t="s">
        <v>1553</v>
      </c>
      <c r="Q2305" s="458"/>
      <c r="R2305" s="459"/>
    </row>
    <row r="2306" spans="1:18" ht="36">
      <c r="A2306" s="493"/>
      <c r="B2306" s="387">
        <v>46191</v>
      </c>
      <c r="C2306" s="388">
        <v>46174</v>
      </c>
      <c r="D2306" s="495" t="s">
        <v>248</v>
      </c>
      <c r="E2306" s="484" t="s">
        <v>599</v>
      </c>
      <c r="F2306" s="498">
        <v>1150.1400000000001</v>
      </c>
      <c r="G2306" s="486" t="s">
        <v>3716</v>
      </c>
      <c r="H2306" s="389" t="s">
        <v>736</v>
      </c>
      <c r="I2306" s="484" t="s">
        <v>1461</v>
      </c>
      <c r="J2306" s="487" t="s">
        <v>1462</v>
      </c>
      <c r="K2306" s="183"/>
      <c r="L2306" s="183"/>
      <c r="M2306" s="484" t="s">
        <v>708</v>
      </c>
      <c r="N2306" s="487">
        <v>64</v>
      </c>
      <c r="O2306" s="487" t="s">
        <v>3495</v>
      </c>
      <c r="P2306" s="484" t="s">
        <v>1554</v>
      </c>
      <c r="Q2306" s="458"/>
      <c r="R2306" s="459"/>
    </row>
    <row r="2307" spans="1:18" ht="36">
      <c r="A2307" s="493"/>
      <c r="B2307" s="387">
        <v>46191</v>
      </c>
      <c r="C2307" s="388">
        <v>46174</v>
      </c>
      <c r="D2307" s="495" t="s">
        <v>248</v>
      </c>
      <c r="E2307" s="484" t="s">
        <v>1219</v>
      </c>
      <c r="F2307" s="498">
        <v>2550</v>
      </c>
      <c r="G2307" s="486" t="s">
        <v>3717</v>
      </c>
      <c r="H2307" s="389" t="s">
        <v>736</v>
      </c>
      <c r="I2307" s="484" t="s">
        <v>1161</v>
      </c>
      <c r="J2307" s="487" t="s">
        <v>1162</v>
      </c>
      <c r="K2307" s="183"/>
      <c r="L2307" s="183"/>
      <c r="M2307" s="484" t="s">
        <v>707</v>
      </c>
      <c r="N2307" s="487">
        <v>136</v>
      </c>
      <c r="O2307" s="487" t="s">
        <v>3495</v>
      </c>
      <c r="P2307" s="484" t="s">
        <v>1554</v>
      </c>
      <c r="Q2307" s="458"/>
      <c r="R2307" s="459"/>
    </row>
    <row r="2308" spans="1:18" ht="36">
      <c r="A2308" s="493"/>
      <c r="B2308" s="387">
        <v>46191</v>
      </c>
      <c r="C2308" s="388">
        <v>46174</v>
      </c>
      <c r="D2308" s="495" t="s">
        <v>248</v>
      </c>
      <c r="E2308" s="484" t="s">
        <v>592</v>
      </c>
      <c r="F2308" s="498">
        <v>1047.5999999999999</v>
      </c>
      <c r="G2308" s="486" t="s">
        <v>3718</v>
      </c>
      <c r="H2308" s="462" t="s">
        <v>737</v>
      </c>
      <c r="I2308" s="484" t="s">
        <v>1427</v>
      </c>
      <c r="J2308" s="487" t="s">
        <v>1428</v>
      </c>
      <c r="K2308" s="183"/>
      <c r="L2308" s="183"/>
      <c r="M2308" s="484" t="s">
        <v>708</v>
      </c>
      <c r="N2308" s="487">
        <v>412</v>
      </c>
      <c r="O2308" s="487" t="s">
        <v>3493</v>
      </c>
      <c r="P2308" s="484" t="s">
        <v>1553</v>
      </c>
      <c r="Q2308" s="458"/>
      <c r="R2308" s="459"/>
    </row>
    <row r="2309" spans="1:18" ht="60">
      <c r="A2309" s="493"/>
      <c r="B2309" s="387">
        <v>46191</v>
      </c>
      <c r="C2309" s="388">
        <v>46174</v>
      </c>
      <c r="D2309" s="495" t="s">
        <v>248</v>
      </c>
      <c r="E2309" s="484" t="s">
        <v>596</v>
      </c>
      <c r="F2309" s="498">
        <v>1330</v>
      </c>
      <c r="G2309" s="486" t="s">
        <v>3719</v>
      </c>
      <c r="H2309" s="389" t="s">
        <v>737</v>
      </c>
      <c r="I2309" s="484" t="s">
        <v>662</v>
      </c>
      <c r="J2309" s="487" t="s">
        <v>663</v>
      </c>
      <c r="K2309" s="183"/>
      <c r="L2309" s="183"/>
      <c r="M2309" s="484" t="s">
        <v>707</v>
      </c>
      <c r="N2309" s="487">
        <v>554</v>
      </c>
      <c r="O2309" s="487" t="s">
        <v>3495</v>
      </c>
      <c r="P2309" s="484" t="s">
        <v>1554</v>
      </c>
      <c r="Q2309" s="458"/>
      <c r="R2309" s="459"/>
    </row>
    <row r="2310" spans="1:18" ht="36">
      <c r="A2310" s="493"/>
      <c r="B2310" s="387">
        <v>46191</v>
      </c>
      <c r="C2310" s="388">
        <v>46174</v>
      </c>
      <c r="D2310" s="495" t="s">
        <v>248</v>
      </c>
      <c r="E2310" s="484" t="s">
        <v>599</v>
      </c>
      <c r="F2310" s="498">
        <v>352.02</v>
      </c>
      <c r="G2310" s="486" t="s">
        <v>3716</v>
      </c>
      <c r="H2310" s="389" t="s">
        <v>736</v>
      </c>
      <c r="I2310" s="484" t="s">
        <v>1481</v>
      </c>
      <c r="J2310" s="487" t="s">
        <v>1482</v>
      </c>
      <c r="K2310" s="183"/>
      <c r="L2310" s="183"/>
      <c r="M2310" s="484" t="s">
        <v>708</v>
      </c>
      <c r="N2310" s="487">
        <v>71</v>
      </c>
      <c r="O2310" s="487" t="s">
        <v>3493</v>
      </c>
      <c r="P2310" s="484" t="s">
        <v>1553</v>
      </c>
      <c r="Q2310" s="458"/>
      <c r="R2310" s="459"/>
    </row>
    <row r="2311" spans="1:18" ht="36">
      <c r="A2311" s="493"/>
      <c r="B2311" s="387">
        <v>46191</v>
      </c>
      <c r="C2311" s="388">
        <v>46174</v>
      </c>
      <c r="D2311" s="495" t="s">
        <v>248</v>
      </c>
      <c r="E2311" s="484" t="s">
        <v>599</v>
      </c>
      <c r="F2311" s="498">
        <v>2434.85</v>
      </c>
      <c r="G2311" s="486" t="s">
        <v>3716</v>
      </c>
      <c r="H2311" s="389" t="s">
        <v>736</v>
      </c>
      <c r="I2311" s="484" t="s">
        <v>1481</v>
      </c>
      <c r="J2311" s="487" t="s">
        <v>1482</v>
      </c>
      <c r="K2311" s="183"/>
      <c r="L2311" s="183"/>
      <c r="M2311" s="484" t="s">
        <v>707</v>
      </c>
      <c r="N2311" s="487">
        <v>70</v>
      </c>
      <c r="O2311" s="487" t="s">
        <v>3493</v>
      </c>
      <c r="P2311" s="484" t="s">
        <v>1554</v>
      </c>
      <c r="Q2311" s="458"/>
      <c r="R2311" s="459"/>
    </row>
    <row r="2312" spans="1:18" ht="36">
      <c r="A2312" s="493"/>
      <c r="B2312" s="387">
        <v>46191</v>
      </c>
      <c r="C2312" s="388">
        <v>46143</v>
      </c>
      <c r="D2312" s="495" t="s">
        <v>248</v>
      </c>
      <c r="E2312" s="484" t="s">
        <v>582</v>
      </c>
      <c r="F2312" s="498">
        <v>7515.24</v>
      </c>
      <c r="G2312" s="486" t="s">
        <v>3720</v>
      </c>
      <c r="H2312" s="389" t="s">
        <v>737</v>
      </c>
      <c r="I2312" s="484" t="s">
        <v>696</v>
      </c>
      <c r="J2312" s="487" t="s">
        <v>697</v>
      </c>
      <c r="K2312" s="183"/>
      <c r="L2312" s="183"/>
      <c r="M2312" s="484" t="s">
        <v>704</v>
      </c>
      <c r="N2312" s="487">
        <v>130</v>
      </c>
      <c r="O2312" s="487" t="s">
        <v>2538</v>
      </c>
      <c r="P2312" s="484" t="s">
        <v>1553</v>
      </c>
      <c r="Q2312" s="458"/>
      <c r="R2312" s="459"/>
    </row>
    <row r="2313" spans="1:18" ht="36">
      <c r="A2313" s="493"/>
      <c r="B2313" s="387">
        <v>46191</v>
      </c>
      <c r="C2313" s="388">
        <v>46174</v>
      </c>
      <c r="D2313" s="484" t="s">
        <v>166</v>
      </c>
      <c r="E2313" s="484" t="s">
        <v>581</v>
      </c>
      <c r="F2313" s="498">
        <v>611.04999999999995</v>
      </c>
      <c r="G2313" s="486" t="s">
        <v>3721</v>
      </c>
      <c r="H2313" s="389" t="s">
        <v>166</v>
      </c>
      <c r="I2313" s="484" t="s">
        <v>3445</v>
      </c>
      <c r="J2313" s="487" t="s">
        <v>3446</v>
      </c>
      <c r="K2313" s="183"/>
      <c r="L2313" s="183"/>
      <c r="M2313" s="484" t="s">
        <v>704</v>
      </c>
      <c r="N2313" s="487">
        <v>8676</v>
      </c>
      <c r="O2313" s="487" t="s">
        <v>3295</v>
      </c>
      <c r="P2313" s="484" t="s">
        <v>1553</v>
      </c>
      <c r="Q2313" s="458"/>
      <c r="R2313" s="459"/>
    </row>
    <row r="2314" spans="1:18" ht="36">
      <c r="A2314" s="493"/>
      <c r="B2314" s="387">
        <v>46191</v>
      </c>
      <c r="C2314" s="388">
        <v>46174</v>
      </c>
      <c r="D2314" s="495" t="s">
        <v>248</v>
      </c>
      <c r="E2314" s="484" t="s">
        <v>592</v>
      </c>
      <c r="F2314" s="498">
        <v>16440</v>
      </c>
      <c r="G2314" s="486" t="s">
        <v>3722</v>
      </c>
      <c r="H2314" s="462" t="s">
        <v>1029</v>
      </c>
      <c r="I2314" s="484" t="s">
        <v>1146</v>
      </c>
      <c r="J2314" s="487" t="s">
        <v>683</v>
      </c>
      <c r="K2314" s="183"/>
      <c r="L2314" s="183"/>
      <c r="M2314" s="484" t="s">
        <v>708</v>
      </c>
      <c r="N2314" s="487">
        <v>2342654</v>
      </c>
      <c r="O2314" s="487" t="s">
        <v>3495</v>
      </c>
      <c r="P2314" s="484" t="s">
        <v>1553</v>
      </c>
      <c r="Q2314" s="458"/>
      <c r="R2314" s="459"/>
    </row>
    <row r="2315" spans="1:18" ht="48">
      <c r="A2315" s="493"/>
      <c r="B2315" s="387">
        <v>46191</v>
      </c>
      <c r="C2315" s="388">
        <v>46174</v>
      </c>
      <c r="D2315" s="495" t="s">
        <v>248</v>
      </c>
      <c r="E2315" s="60" t="s">
        <v>494</v>
      </c>
      <c r="F2315" s="498">
        <v>69040.56</v>
      </c>
      <c r="G2315" s="486" t="s">
        <v>1644</v>
      </c>
      <c r="H2315" s="389" t="s">
        <v>736</v>
      </c>
      <c r="I2315" s="484" t="s">
        <v>1455</v>
      </c>
      <c r="J2315" s="487" t="s">
        <v>1456</v>
      </c>
      <c r="K2315" s="183"/>
      <c r="L2315" s="183"/>
      <c r="M2315" s="484" t="s">
        <v>707</v>
      </c>
      <c r="N2315" s="487">
        <v>17</v>
      </c>
      <c r="O2315" s="487" t="s">
        <v>3295</v>
      </c>
      <c r="P2315" s="484" t="s">
        <v>1554</v>
      </c>
      <c r="Q2315" s="458"/>
      <c r="R2315" s="459"/>
    </row>
    <row r="2316" spans="1:18" ht="36">
      <c r="A2316" s="493"/>
      <c r="B2316" s="387">
        <v>46191</v>
      </c>
      <c r="C2316" s="388">
        <v>46174</v>
      </c>
      <c r="D2316" s="495" t="s">
        <v>248</v>
      </c>
      <c r="E2316" s="484" t="s">
        <v>607</v>
      </c>
      <c r="F2316" s="498">
        <v>58</v>
      </c>
      <c r="G2316" s="486" t="s">
        <v>3723</v>
      </c>
      <c r="H2316" s="453" t="s">
        <v>736</v>
      </c>
      <c r="I2316" s="484" t="s">
        <v>2573</v>
      </c>
      <c r="J2316" s="487" t="s">
        <v>2574</v>
      </c>
      <c r="K2316" s="183"/>
      <c r="L2316" s="183"/>
      <c r="M2316" s="484" t="s">
        <v>708</v>
      </c>
      <c r="N2316" s="487">
        <v>76464</v>
      </c>
      <c r="O2316" s="487" t="s">
        <v>3497</v>
      </c>
      <c r="P2316" s="484" t="s">
        <v>1553</v>
      </c>
      <c r="Q2316" s="458"/>
      <c r="R2316" s="459"/>
    </row>
    <row r="2317" spans="1:18" ht="36">
      <c r="A2317" s="493"/>
      <c r="B2317" s="387">
        <v>46191</v>
      </c>
      <c r="C2317" s="388">
        <v>46174</v>
      </c>
      <c r="D2317" s="495" t="s">
        <v>248</v>
      </c>
      <c r="E2317" s="484" t="s">
        <v>607</v>
      </c>
      <c r="F2317" s="498">
        <v>58</v>
      </c>
      <c r="G2317" s="486" t="s">
        <v>3723</v>
      </c>
      <c r="H2317" s="453" t="s">
        <v>736</v>
      </c>
      <c r="I2317" s="484" t="s">
        <v>3447</v>
      </c>
      <c r="J2317" s="487" t="s">
        <v>3448</v>
      </c>
      <c r="K2317" s="183"/>
      <c r="L2317" s="183"/>
      <c r="M2317" s="484" t="s">
        <v>708</v>
      </c>
      <c r="N2317" s="487">
        <v>76465</v>
      </c>
      <c r="O2317" s="487" t="s">
        <v>3497</v>
      </c>
      <c r="P2317" s="484" t="s">
        <v>3516</v>
      </c>
      <c r="Q2317" s="458"/>
      <c r="R2317" s="459"/>
    </row>
    <row r="2318" spans="1:18" ht="36">
      <c r="A2318" s="493"/>
      <c r="B2318" s="387">
        <v>46191</v>
      </c>
      <c r="C2318" s="388">
        <v>46174</v>
      </c>
      <c r="D2318" s="495" t="s">
        <v>248</v>
      </c>
      <c r="E2318" s="484" t="s">
        <v>607</v>
      </c>
      <c r="F2318" s="498">
        <v>58</v>
      </c>
      <c r="G2318" s="486" t="s">
        <v>3723</v>
      </c>
      <c r="H2318" s="453" t="s">
        <v>736</v>
      </c>
      <c r="I2318" s="484" t="s">
        <v>2575</v>
      </c>
      <c r="J2318" s="487" t="s">
        <v>2576</v>
      </c>
      <c r="K2318" s="183"/>
      <c r="L2318" s="183"/>
      <c r="M2318" s="484" t="s">
        <v>708</v>
      </c>
      <c r="N2318" s="487">
        <v>76466</v>
      </c>
      <c r="O2318" s="487" t="s">
        <v>3497</v>
      </c>
      <c r="P2318" s="484" t="s">
        <v>1553</v>
      </c>
      <c r="Q2318" s="458"/>
      <c r="R2318" s="459"/>
    </row>
    <row r="2319" spans="1:18" ht="24">
      <c r="A2319" s="493"/>
      <c r="B2319" s="387">
        <v>46191</v>
      </c>
      <c r="C2319" s="388">
        <v>46143</v>
      </c>
      <c r="D2319" s="484" t="s">
        <v>166</v>
      </c>
      <c r="E2319" s="39" t="s">
        <v>234</v>
      </c>
      <c r="F2319" s="497">
        <v>280971.03999999998</v>
      </c>
      <c r="G2319" s="486" t="s">
        <v>3724</v>
      </c>
      <c r="H2319" s="389" t="s">
        <v>166</v>
      </c>
      <c r="I2319" s="484" t="s">
        <v>668</v>
      </c>
      <c r="J2319" s="487" t="s">
        <v>669</v>
      </c>
      <c r="K2319" s="183"/>
      <c r="L2319" s="183"/>
      <c r="M2319" s="484" t="s">
        <v>723</v>
      </c>
      <c r="N2319" s="487">
        <v>2100</v>
      </c>
      <c r="O2319" s="487" t="s">
        <v>2546</v>
      </c>
      <c r="P2319" s="484" t="s">
        <v>1555</v>
      </c>
      <c r="Q2319" s="458"/>
      <c r="R2319" s="459"/>
    </row>
    <row r="2320" spans="1:18" ht="24">
      <c r="A2320" s="493"/>
      <c r="B2320" s="387">
        <v>46191</v>
      </c>
      <c r="C2320" s="388">
        <v>46143</v>
      </c>
      <c r="D2320" s="484" t="s">
        <v>166</v>
      </c>
      <c r="E2320" s="484" t="s">
        <v>1210</v>
      </c>
      <c r="F2320" s="497">
        <v>120707.22</v>
      </c>
      <c r="G2320" s="486" t="s">
        <v>3725</v>
      </c>
      <c r="H2320" s="389" t="s">
        <v>166</v>
      </c>
      <c r="I2320" s="484" t="s">
        <v>668</v>
      </c>
      <c r="J2320" s="487" t="s">
        <v>669</v>
      </c>
      <c r="K2320" s="183"/>
      <c r="L2320" s="183"/>
      <c r="M2320" s="484" t="s">
        <v>2259</v>
      </c>
      <c r="N2320" s="487">
        <v>561</v>
      </c>
      <c r="O2320" s="487" t="s">
        <v>2546</v>
      </c>
      <c r="P2320" s="484" t="s">
        <v>1555</v>
      </c>
      <c r="Q2320" s="458"/>
      <c r="R2320" s="459"/>
    </row>
    <row r="2321" spans="1:18" ht="24">
      <c r="A2321" s="493"/>
      <c r="B2321" s="387">
        <v>46191</v>
      </c>
      <c r="C2321" s="388">
        <v>46143</v>
      </c>
      <c r="D2321" s="484" t="s">
        <v>166</v>
      </c>
      <c r="E2321" s="39" t="s">
        <v>245</v>
      </c>
      <c r="F2321" s="498">
        <v>8160.56</v>
      </c>
      <c r="G2321" s="486" t="s">
        <v>3726</v>
      </c>
      <c r="H2321" s="389" t="s">
        <v>166</v>
      </c>
      <c r="I2321" s="484" t="s">
        <v>668</v>
      </c>
      <c r="J2321" s="487" t="s">
        <v>669</v>
      </c>
      <c r="K2321" s="183"/>
      <c r="L2321" s="183"/>
      <c r="M2321" s="484" t="s">
        <v>725</v>
      </c>
      <c r="N2321" s="487">
        <v>83010526</v>
      </c>
      <c r="O2321" s="487" t="s">
        <v>2546</v>
      </c>
      <c r="P2321" s="484" t="s">
        <v>1555</v>
      </c>
      <c r="Q2321" s="458"/>
      <c r="R2321" s="459"/>
    </row>
    <row r="2322" spans="1:18" ht="24">
      <c r="A2322" s="493"/>
      <c r="B2322" s="387">
        <v>46191</v>
      </c>
      <c r="C2322" s="388">
        <v>46143</v>
      </c>
      <c r="D2322" s="484" t="s">
        <v>166</v>
      </c>
      <c r="E2322" s="484" t="s">
        <v>603</v>
      </c>
      <c r="F2322" s="498">
        <v>243.52</v>
      </c>
      <c r="G2322" s="489"/>
      <c r="H2322" s="389" t="s">
        <v>166</v>
      </c>
      <c r="I2322" s="484" t="s">
        <v>668</v>
      </c>
      <c r="J2322" s="487" t="s">
        <v>669</v>
      </c>
      <c r="K2322" s="183"/>
      <c r="L2322" s="183"/>
      <c r="M2322" s="484" t="s">
        <v>721</v>
      </c>
      <c r="N2322" s="487">
        <v>726795</v>
      </c>
      <c r="O2322" s="487" t="s">
        <v>2529</v>
      </c>
      <c r="P2322" s="484" t="s">
        <v>1555</v>
      </c>
      <c r="Q2322" s="458"/>
      <c r="R2322" s="459"/>
    </row>
    <row r="2323" spans="1:18" ht="48">
      <c r="A2323" s="493"/>
      <c r="B2323" s="387">
        <v>46191</v>
      </c>
      <c r="C2323" s="388">
        <v>46174</v>
      </c>
      <c r="D2323" s="495" t="s">
        <v>248</v>
      </c>
      <c r="E2323" s="484" t="s">
        <v>1550</v>
      </c>
      <c r="F2323" s="498">
        <v>1761.38</v>
      </c>
      <c r="G2323" s="486" t="s">
        <v>3727</v>
      </c>
      <c r="H2323" s="389" t="s">
        <v>736</v>
      </c>
      <c r="I2323" s="484" t="s">
        <v>686</v>
      </c>
      <c r="J2323" s="487" t="s">
        <v>687</v>
      </c>
      <c r="K2323" s="183"/>
      <c r="L2323" s="183"/>
      <c r="M2323" s="484" t="s">
        <v>719</v>
      </c>
      <c r="N2323" s="487">
        <v>6689</v>
      </c>
      <c r="O2323" s="487" t="s">
        <v>3497</v>
      </c>
      <c r="P2323" s="484" t="s">
        <v>1554</v>
      </c>
      <c r="Q2323" s="458"/>
      <c r="R2323" s="459"/>
    </row>
    <row r="2324" spans="1:18" ht="36">
      <c r="A2324" s="493"/>
      <c r="B2324" s="387">
        <v>46191</v>
      </c>
      <c r="C2324" s="388">
        <v>46174</v>
      </c>
      <c r="D2324" s="495" t="s">
        <v>248</v>
      </c>
      <c r="E2324" s="484" t="s">
        <v>598</v>
      </c>
      <c r="F2324" s="498">
        <v>2800</v>
      </c>
      <c r="G2324" s="486" t="s">
        <v>3728</v>
      </c>
      <c r="H2324" s="389" t="s">
        <v>736</v>
      </c>
      <c r="I2324" s="484" t="s">
        <v>3397</v>
      </c>
      <c r="J2324" s="487" t="s">
        <v>3398</v>
      </c>
      <c r="K2324" s="183"/>
      <c r="L2324" s="183"/>
      <c r="M2324" s="484" t="s">
        <v>707</v>
      </c>
      <c r="N2324" s="487">
        <v>44</v>
      </c>
      <c r="O2324" s="487" t="s">
        <v>3485</v>
      </c>
      <c r="P2324" s="484" t="s">
        <v>1554</v>
      </c>
      <c r="Q2324" s="458"/>
      <c r="R2324" s="459"/>
    </row>
    <row r="2325" spans="1:18" ht="36">
      <c r="A2325" s="493"/>
      <c r="B2325" s="387">
        <v>46191</v>
      </c>
      <c r="C2325" s="388">
        <v>46174</v>
      </c>
      <c r="D2325" s="495" t="s">
        <v>248</v>
      </c>
      <c r="E2325" s="484" t="s">
        <v>598</v>
      </c>
      <c r="F2325" s="499">
        <v>-2700</v>
      </c>
      <c r="G2325" s="462" t="s">
        <v>3842</v>
      </c>
      <c r="H2325" s="389" t="s">
        <v>736</v>
      </c>
      <c r="I2325" s="484" t="s">
        <v>3397</v>
      </c>
      <c r="J2325" s="487" t="s">
        <v>3398</v>
      </c>
      <c r="K2325" s="183"/>
      <c r="L2325" s="183"/>
      <c r="M2325" s="484" t="s">
        <v>707</v>
      </c>
      <c r="N2325" s="487">
        <v>44</v>
      </c>
      <c r="O2325" s="487" t="s">
        <v>3485</v>
      </c>
      <c r="P2325" s="484" t="s">
        <v>1554</v>
      </c>
      <c r="Q2325" s="458"/>
      <c r="R2325" s="459"/>
    </row>
    <row r="2326" spans="1:18" ht="24">
      <c r="A2326" s="493"/>
      <c r="B2326" s="387">
        <v>46191</v>
      </c>
      <c r="C2326" s="388">
        <v>46143</v>
      </c>
      <c r="D2326" s="495" t="s">
        <v>248</v>
      </c>
      <c r="E2326" s="484" t="s">
        <v>593</v>
      </c>
      <c r="F2326" s="498">
        <v>5076.3500000000004</v>
      </c>
      <c r="G2326" s="489"/>
      <c r="H2326" s="389" t="s">
        <v>736</v>
      </c>
      <c r="I2326" s="484" t="s">
        <v>668</v>
      </c>
      <c r="J2326" s="487" t="s">
        <v>669</v>
      </c>
      <c r="K2326" s="183"/>
      <c r="L2326" s="183"/>
      <c r="M2326" s="484" t="s">
        <v>721</v>
      </c>
      <c r="N2326" s="487">
        <v>4</v>
      </c>
      <c r="O2326" s="487" t="s">
        <v>2527</v>
      </c>
      <c r="P2326" s="484" t="s">
        <v>1554</v>
      </c>
      <c r="Q2326" s="458"/>
      <c r="R2326" s="459"/>
    </row>
    <row r="2327" spans="1:18" ht="36">
      <c r="A2327" s="493"/>
      <c r="B2327" s="387">
        <v>46191</v>
      </c>
      <c r="C2327" s="388">
        <v>46143</v>
      </c>
      <c r="D2327" s="495" t="s">
        <v>248</v>
      </c>
      <c r="E2327" s="60" t="s">
        <v>455</v>
      </c>
      <c r="F2327" s="498">
        <v>2785.16</v>
      </c>
      <c r="G2327" s="486" t="s">
        <v>2917</v>
      </c>
      <c r="H2327" s="389" t="s">
        <v>738</v>
      </c>
      <c r="I2327" s="484" t="s">
        <v>668</v>
      </c>
      <c r="J2327" s="487" t="s">
        <v>669</v>
      </c>
      <c r="K2327" s="183"/>
      <c r="L2327" s="183"/>
      <c r="M2327" s="484" t="s">
        <v>721</v>
      </c>
      <c r="N2327" s="487">
        <v>326</v>
      </c>
      <c r="O2327" s="487" t="s">
        <v>2529</v>
      </c>
      <c r="P2327" s="484" t="s">
        <v>1554</v>
      </c>
      <c r="Q2327" s="458"/>
      <c r="R2327" s="459"/>
    </row>
    <row r="2328" spans="1:18" ht="24">
      <c r="A2328" s="493"/>
      <c r="B2328" s="387">
        <v>46191</v>
      </c>
      <c r="C2328" s="388">
        <v>46143</v>
      </c>
      <c r="D2328" s="495" t="s">
        <v>248</v>
      </c>
      <c r="E2328" s="60" t="s">
        <v>78</v>
      </c>
      <c r="F2328" s="498">
        <v>351.54</v>
      </c>
      <c r="G2328" s="489"/>
      <c r="H2328" s="462"/>
      <c r="I2328" s="484" t="s">
        <v>668</v>
      </c>
      <c r="J2328" s="487" t="s">
        <v>669</v>
      </c>
      <c r="K2328" s="183"/>
      <c r="L2328" s="183"/>
      <c r="M2328" s="484" t="s">
        <v>721</v>
      </c>
      <c r="N2328" s="487">
        <v>17</v>
      </c>
      <c r="O2328" s="487" t="s">
        <v>2532</v>
      </c>
      <c r="P2328" s="484" t="s">
        <v>1554</v>
      </c>
      <c r="Q2328" s="458"/>
      <c r="R2328" s="459"/>
    </row>
    <row r="2329" spans="1:18" ht="36">
      <c r="A2329" s="493"/>
      <c r="B2329" s="387">
        <v>46191</v>
      </c>
      <c r="C2329" s="388">
        <v>46143</v>
      </c>
      <c r="D2329" s="495" t="s">
        <v>248</v>
      </c>
      <c r="E2329" s="484" t="s">
        <v>604</v>
      </c>
      <c r="F2329" s="498">
        <v>954.29</v>
      </c>
      <c r="G2329" s="486" t="s">
        <v>2773</v>
      </c>
      <c r="H2329" s="389" t="s">
        <v>1029</v>
      </c>
      <c r="I2329" s="484" t="s">
        <v>668</v>
      </c>
      <c r="J2329" s="487" t="s">
        <v>669</v>
      </c>
      <c r="K2329" s="183"/>
      <c r="L2329" s="183"/>
      <c r="M2329" s="484" t="s">
        <v>721</v>
      </c>
      <c r="N2329" s="487">
        <v>2322844</v>
      </c>
      <c r="O2329" s="487" t="s">
        <v>2529</v>
      </c>
      <c r="P2329" s="484" t="s">
        <v>1554</v>
      </c>
      <c r="Q2329" s="458"/>
      <c r="R2329" s="459"/>
    </row>
    <row r="2330" spans="1:18" ht="96">
      <c r="A2330" s="493"/>
      <c r="B2330" s="387">
        <v>46191</v>
      </c>
      <c r="C2330" s="388">
        <v>46143</v>
      </c>
      <c r="D2330" s="495" t="s">
        <v>248</v>
      </c>
      <c r="E2330" s="484" t="s">
        <v>758</v>
      </c>
      <c r="F2330" s="498">
        <v>4770.3100000000004</v>
      </c>
      <c r="G2330" s="486" t="s">
        <v>2919</v>
      </c>
      <c r="H2330" s="392" t="s">
        <v>738</v>
      </c>
      <c r="I2330" s="484" t="s">
        <v>668</v>
      </c>
      <c r="J2330" s="487" t="s">
        <v>669</v>
      </c>
      <c r="K2330" s="183"/>
      <c r="L2330" s="183"/>
      <c r="M2330" s="484" t="s">
        <v>721</v>
      </c>
      <c r="N2330" s="487">
        <v>329</v>
      </c>
      <c r="O2330" s="487" t="s">
        <v>2537</v>
      </c>
      <c r="P2330" s="484" t="s">
        <v>1554</v>
      </c>
      <c r="Q2330" s="458"/>
      <c r="R2330" s="459"/>
    </row>
    <row r="2331" spans="1:18" ht="24">
      <c r="A2331" s="493"/>
      <c r="B2331" s="387">
        <v>46191</v>
      </c>
      <c r="C2331" s="388">
        <v>46143</v>
      </c>
      <c r="D2331" s="495" t="s">
        <v>248</v>
      </c>
      <c r="E2331" s="60" t="s">
        <v>78</v>
      </c>
      <c r="F2331" s="498">
        <v>184.33</v>
      </c>
      <c r="G2331" s="489"/>
      <c r="H2331" s="462"/>
      <c r="I2331" s="484" t="s">
        <v>668</v>
      </c>
      <c r="J2331" s="487" t="s">
        <v>669</v>
      </c>
      <c r="K2331" s="183"/>
      <c r="L2331" s="183"/>
      <c r="M2331" s="484" t="s">
        <v>721</v>
      </c>
      <c r="N2331" s="487">
        <v>512</v>
      </c>
      <c r="O2331" s="487" t="s">
        <v>2536</v>
      </c>
      <c r="P2331" s="484" t="s">
        <v>1554</v>
      </c>
      <c r="Q2331" s="458"/>
      <c r="R2331" s="459"/>
    </row>
    <row r="2332" spans="1:18" ht="24">
      <c r="A2332" s="493"/>
      <c r="B2332" s="387">
        <v>46191</v>
      </c>
      <c r="C2332" s="388">
        <v>46143</v>
      </c>
      <c r="D2332" s="495" t="s">
        <v>248</v>
      </c>
      <c r="E2332" s="60" t="s">
        <v>78</v>
      </c>
      <c r="F2332" s="498">
        <v>548.54999999999995</v>
      </c>
      <c r="G2332" s="489"/>
      <c r="H2332" s="462"/>
      <c r="I2332" s="484" t="s">
        <v>668</v>
      </c>
      <c r="J2332" s="487" t="s">
        <v>669</v>
      </c>
      <c r="K2332" s="183"/>
      <c r="L2332" s="183"/>
      <c r="M2332" s="484" t="s">
        <v>721</v>
      </c>
      <c r="N2332" s="487">
        <v>335</v>
      </c>
      <c r="O2332" s="487" t="s">
        <v>2538</v>
      </c>
      <c r="P2332" s="484" t="s">
        <v>1554</v>
      </c>
      <c r="Q2332" s="458"/>
      <c r="R2332" s="459"/>
    </row>
    <row r="2333" spans="1:18" ht="24">
      <c r="A2333" s="493"/>
      <c r="B2333" s="387">
        <v>46191</v>
      </c>
      <c r="C2333" s="388">
        <v>46143</v>
      </c>
      <c r="D2333" s="484" t="s">
        <v>166</v>
      </c>
      <c r="E2333" s="39" t="s">
        <v>234</v>
      </c>
      <c r="F2333" s="497">
        <v>174143.77</v>
      </c>
      <c r="G2333" s="486" t="s">
        <v>3729</v>
      </c>
      <c r="H2333" s="389" t="s">
        <v>166</v>
      </c>
      <c r="I2333" s="484" t="s">
        <v>668</v>
      </c>
      <c r="J2333" s="487" t="s">
        <v>669</v>
      </c>
      <c r="K2333" s="183"/>
      <c r="L2333" s="183"/>
      <c r="M2333" s="484" t="s">
        <v>723</v>
      </c>
      <c r="N2333" s="487">
        <v>2100</v>
      </c>
      <c r="O2333" s="487" t="s">
        <v>2546</v>
      </c>
      <c r="P2333" s="484" t="s">
        <v>1554</v>
      </c>
      <c r="Q2333" s="458"/>
      <c r="R2333" s="459"/>
    </row>
    <row r="2334" spans="1:18" ht="24">
      <c r="A2334" s="493"/>
      <c r="B2334" s="387">
        <v>46191</v>
      </c>
      <c r="C2334" s="388">
        <v>46143</v>
      </c>
      <c r="D2334" s="484" t="s">
        <v>166</v>
      </c>
      <c r="E2334" s="484" t="s">
        <v>1210</v>
      </c>
      <c r="F2334" s="497">
        <v>98697.87</v>
      </c>
      <c r="G2334" s="486" t="s">
        <v>3730</v>
      </c>
      <c r="H2334" s="389" t="s">
        <v>166</v>
      </c>
      <c r="I2334" s="484" t="s">
        <v>668</v>
      </c>
      <c r="J2334" s="487" t="s">
        <v>669</v>
      </c>
      <c r="K2334" s="183"/>
      <c r="L2334" s="183"/>
      <c r="M2334" s="484" t="s">
        <v>2259</v>
      </c>
      <c r="N2334" s="487">
        <v>561</v>
      </c>
      <c r="O2334" s="487" t="s">
        <v>2546</v>
      </c>
      <c r="P2334" s="484" t="s">
        <v>1554</v>
      </c>
      <c r="Q2334" s="458"/>
      <c r="R2334" s="459"/>
    </row>
    <row r="2335" spans="1:18" ht="24">
      <c r="A2335" s="493"/>
      <c r="B2335" s="387">
        <v>46191</v>
      </c>
      <c r="C2335" s="388">
        <v>46143</v>
      </c>
      <c r="D2335" s="484" t="s">
        <v>166</v>
      </c>
      <c r="E2335" s="39" t="s">
        <v>245</v>
      </c>
      <c r="F2335" s="498">
        <v>5043.8500000000004</v>
      </c>
      <c r="G2335" s="486" t="s">
        <v>3731</v>
      </c>
      <c r="H2335" s="389" t="s">
        <v>166</v>
      </c>
      <c r="I2335" s="484" t="s">
        <v>668</v>
      </c>
      <c r="J2335" s="487" t="s">
        <v>669</v>
      </c>
      <c r="K2335" s="183"/>
      <c r="L2335" s="183"/>
      <c r="M2335" s="484" t="s">
        <v>725</v>
      </c>
      <c r="N2335" s="487">
        <v>83010526</v>
      </c>
      <c r="O2335" s="487" t="s">
        <v>2546</v>
      </c>
      <c r="P2335" s="484" t="s">
        <v>1554</v>
      </c>
      <c r="Q2335" s="458"/>
      <c r="R2335" s="459"/>
    </row>
    <row r="2336" spans="1:18" ht="36">
      <c r="A2336" s="493"/>
      <c r="B2336" s="387">
        <v>46191</v>
      </c>
      <c r="C2336" s="388">
        <v>46174</v>
      </c>
      <c r="D2336" s="495" t="s">
        <v>248</v>
      </c>
      <c r="E2336" s="484" t="s">
        <v>595</v>
      </c>
      <c r="F2336" s="498">
        <v>1788.95</v>
      </c>
      <c r="G2336" s="486" t="s">
        <v>3732</v>
      </c>
      <c r="H2336" s="462" t="s">
        <v>278</v>
      </c>
      <c r="I2336" s="484" t="s">
        <v>649</v>
      </c>
      <c r="J2336" s="487" t="s">
        <v>650</v>
      </c>
      <c r="K2336" s="183"/>
      <c r="L2336" s="183"/>
      <c r="M2336" s="484" t="s">
        <v>707</v>
      </c>
      <c r="N2336" s="487">
        <v>1385</v>
      </c>
      <c r="O2336" s="487" t="s">
        <v>3485</v>
      </c>
      <c r="P2336" s="484" t="s">
        <v>1554</v>
      </c>
      <c r="Q2336" s="458"/>
      <c r="R2336" s="459"/>
    </row>
    <row r="2337" spans="1:18" ht="36">
      <c r="A2337" s="493"/>
      <c r="B2337" s="387">
        <v>46191</v>
      </c>
      <c r="C2337" s="388">
        <v>46174</v>
      </c>
      <c r="D2337" s="495" t="s">
        <v>248</v>
      </c>
      <c r="E2337" s="484" t="s">
        <v>607</v>
      </c>
      <c r="F2337" s="485">
        <v>107.77</v>
      </c>
      <c r="G2337" s="486" t="s">
        <v>3733</v>
      </c>
      <c r="H2337" s="453" t="s">
        <v>736</v>
      </c>
      <c r="I2337" s="484" t="s">
        <v>881</v>
      </c>
      <c r="J2337" s="487" t="s">
        <v>773</v>
      </c>
      <c r="K2337" s="183"/>
      <c r="L2337" s="183"/>
      <c r="M2337" s="484" t="s">
        <v>710</v>
      </c>
      <c r="N2337" s="487">
        <v>674316</v>
      </c>
      <c r="O2337" s="487" t="s">
        <v>3296</v>
      </c>
      <c r="P2337" s="484" t="s">
        <v>735</v>
      </c>
      <c r="Q2337" s="458"/>
      <c r="R2337" s="459"/>
    </row>
    <row r="2338" spans="1:18" ht="36">
      <c r="A2338" s="493"/>
      <c r="B2338" s="387">
        <v>46191</v>
      </c>
      <c r="C2338" s="388">
        <v>46143</v>
      </c>
      <c r="D2338" s="484" t="s">
        <v>166</v>
      </c>
      <c r="E2338" s="484" t="s">
        <v>581</v>
      </c>
      <c r="F2338" s="498">
        <v>23.95</v>
      </c>
      <c r="G2338" s="489"/>
      <c r="H2338" s="389" t="s">
        <v>166</v>
      </c>
      <c r="I2338" s="484" t="s">
        <v>668</v>
      </c>
      <c r="J2338" s="487" t="s">
        <v>669</v>
      </c>
      <c r="K2338" s="183"/>
      <c r="L2338" s="183"/>
      <c r="M2338" s="484" t="s">
        <v>721</v>
      </c>
      <c r="N2338" s="487">
        <v>6852</v>
      </c>
      <c r="O2338" s="487" t="s">
        <v>2529</v>
      </c>
      <c r="P2338" s="484" t="s">
        <v>1553</v>
      </c>
      <c r="Q2338" s="458"/>
      <c r="R2338" s="459"/>
    </row>
    <row r="2339" spans="1:18" ht="36">
      <c r="A2339" s="493"/>
      <c r="B2339" s="387">
        <v>46191</v>
      </c>
      <c r="C2339" s="388">
        <v>46143</v>
      </c>
      <c r="D2339" s="484" t="s">
        <v>166</v>
      </c>
      <c r="E2339" s="484" t="s">
        <v>581</v>
      </c>
      <c r="F2339" s="498">
        <v>34.89</v>
      </c>
      <c r="G2339" s="489"/>
      <c r="H2339" s="389" t="s">
        <v>166</v>
      </c>
      <c r="I2339" s="484" t="s">
        <v>668</v>
      </c>
      <c r="J2339" s="487" t="s">
        <v>669</v>
      </c>
      <c r="K2339" s="183"/>
      <c r="L2339" s="183"/>
      <c r="M2339" s="484" t="s">
        <v>721</v>
      </c>
      <c r="N2339" s="487">
        <v>18064</v>
      </c>
      <c r="O2339" s="487" t="s">
        <v>2533</v>
      </c>
      <c r="P2339" s="484" t="s">
        <v>1553</v>
      </c>
      <c r="Q2339" s="458"/>
      <c r="R2339" s="459"/>
    </row>
    <row r="2340" spans="1:18" ht="36">
      <c r="A2340" s="493"/>
      <c r="B2340" s="387">
        <v>46191</v>
      </c>
      <c r="C2340" s="388">
        <v>46143</v>
      </c>
      <c r="D2340" s="495" t="s">
        <v>248</v>
      </c>
      <c r="E2340" s="60" t="s">
        <v>171</v>
      </c>
      <c r="F2340" s="498">
        <v>78.55</v>
      </c>
      <c r="G2340" s="489"/>
      <c r="H2340" s="389" t="s">
        <v>278</v>
      </c>
      <c r="I2340" s="484" t="s">
        <v>668</v>
      </c>
      <c r="J2340" s="487" t="s">
        <v>669</v>
      </c>
      <c r="K2340" s="183"/>
      <c r="L2340" s="183"/>
      <c r="M2340" s="484" t="s">
        <v>721</v>
      </c>
      <c r="N2340" s="487">
        <v>445510</v>
      </c>
      <c r="O2340" s="487" t="s">
        <v>2534</v>
      </c>
      <c r="P2340" s="484" t="s">
        <v>1553</v>
      </c>
      <c r="Q2340" s="458"/>
      <c r="R2340" s="459"/>
    </row>
    <row r="2341" spans="1:18" ht="36">
      <c r="A2341" s="493"/>
      <c r="B2341" s="387">
        <v>46191</v>
      </c>
      <c r="C2341" s="388">
        <v>46143</v>
      </c>
      <c r="D2341" s="484" t="s">
        <v>166</v>
      </c>
      <c r="E2341" s="484" t="s">
        <v>581</v>
      </c>
      <c r="F2341" s="498">
        <v>29.86</v>
      </c>
      <c r="G2341" s="489"/>
      <c r="H2341" s="389" t="s">
        <v>166</v>
      </c>
      <c r="I2341" s="484" t="s">
        <v>668</v>
      </c>
      <c r="J2341" s="487" t="s">
        <v>669</v>
      </c>
      <c r="K2341" s="183"/>
      <c r="L2341" s="183"/>
      <c r="M2341" s="484" t="s">
        <v>721</v>
      </c>
      <c r="N2341" s="487">
        <v>7809</v>
      </c>
      <c r="O2341" s="487" t="s">
        <v>2533</v>
      </c>
      <c r="P2341" s="484" t="s">
        <v>1553</v>
      </c>
      <c r="Q2341" s="458"/>
      <c r="R2341" s="459"/>
    </row>
    <row r="2342" spans="1:18" ht="36">
      <c r="A2342" s="493"/>
      <c r="B2342" s="387">
        <v>46191</v>
      </c>
      <c r="C2342" s="388">
        <v>46143</v>
      </c>
      <c r="D2342" s="495" t="s">
        <v>248</v>
      </c>
      <c r="E2342" s="60" t="s">
        <v>78</v>
      </c>
      <c r="F2342" s="498">
        <v>208.69</v>
      </c>
      <c r="G2342" s="489"/>
      <c r="H2342" s="462"/>
      <c r="I2342" s="484" t="s">
        <v>668</v>
      </c>
      <c r="J2342" s="487" t="s">
        <v>669</v>
      </c>
      <c r="K2342" s="183"/>
      <c r="L2342" s="183"/>
      <c r="M2342" s="484" t="s">
        <v>721</v>
      </c>
      <c r="N2342" s="487">
        <v>826</v>
      </c>
      <c r="O2342" s="487" t="s">
        <v>2529</v>
      </c>
      <c r="P2342" s="484" t="s">
        <v>1553</v>
      </c>
      <c r="Q2342" s="458"/>
      <c r="R2342" s="459"/>
    </row>
    <row r="2343" spans="1:18" ht="36">
      <c r="A2343" s="493"/>
      <c r="B2343" s="387">
        <v>46191</v>
      </c>
      <c r="C2343" s="388">
        <v>46143</v>
      </c>
      <c r="D2343" s="495" t="s">
        <v>248</v>
      </c>
      <c r="E2343" s="484" t="s">
        <v>605</v>
      </c>
      <c r="F2343" s="498">
        <v>69.75</v>
      </c>
      <c r="G2343" s="489"/>
      <c r="H2343" s="462" t="s">
        <v>278</v>
      </c>
      <c r="I2343" s="484" t="s">
        <v>668</v>
      </c>
      <c r="J2343" s="487" t="s">
        <v>669</v>
      </c>
      <c r="K2343" s="183"/>
      <c r="L2343" s="183"/>
      <c r="M2343" s="484" t="s">
        <v>721</v>
      </c>
      <c r="N2343" s="487">
        <v>9416</v>
      </c>
      <c r="O2343" s="487" t="s">
        <v>2538</v>
      </c>
      <c r="P2343" s="484" t="s">
        <v>1553</v>
      </c>
      <c r="Q2343" s="458"/>
      <c r="R2343" s="459"/>
    </row>
    <row r="2344" spans="1:18" ht="36">
      <c r="A2344" s="493"/>
      <c r="B2344" s="387">
        <v>46191</v>
      </c>
      <c r="C2344" s="388">
        <v>46174</v>
      </c>
      <c r="D2344" s="495" t="s">
        <v>248</v>
      </c>
      <c r="E2344" s="484" t="s">
        <v>598</v>
      </c>
      <c r="F2344" s="498">
        <v>2800</v>
      </c>
      <c r="G2344" s="486" t="s">
        <v>3734</v>
      </c>
      <c r="H2344" s="389" t="s">
        <v>736</v>
      </c>
      <c r="I2344" s="484" t="s">
        <v>3397</v>
      </c>
      <c r="J2344" s="487" t="s">
        <v>3398</v>
      </c>
      <c r="K2344" s="183"/>
      <c r="L2344" s="183"/>
      <c r="M2344" s="484" t="s">
        <v>708</v>
      </c>
      <c r="N2344" s="487">
        <v>62026</v>
      </c>
      <c r="O2344" s="487" t="s">
        <v>3485</v>
      </c>
      <c r="P2344" s="484" t="s">
        <v>1553</v>
      </c>
      <c r="Q2344" s="458"/>
      <c r="R2344" s="459"/>
    </row>
    <row r="2345" spans="1:18" ht="36">
      <c r="A2345" s="493"/>
      <c r="B2345" s="387">
        <v>46191</v>
      </c>
      <c r="C2345" s="388">
        <v>46174</v>
      </c>
      <c r="D2345" s="495" t="s">
        <v>248</v>
      </c>
      <c r="E2345" s="484" t="s">
        <v>598</v>
      </c>
      <c r="F2345" s="497">
        <v>-2800</v>
      </c>
      <c r="G2345" s="486" t="s">
        <v>3735</v>
      </c>
      <c r="H2345" s="389" t="s">
        <v>736</v>
      </c>
      <c r="I2345" s="484" t="s">
        <v>3397</v>
      </c>
      <c r="J2345" s="487" t="s">
        <v>3398</v>
      </c>
      <c r="K2345" s="183"/>
      <c r="L2345" s="183"/>
      <c r="M2345" s="484" t="s">
        <v>708</v>
      </c>
      <c r="N2345" s="487">
        <v>62026</v>
      </c>
      <c r="O2345" s="487" t="s">
        <v>3485</v>
      </c>
      <c r="P2345" s="484" t="s">
        <v>1553</v>
      </c>
      <c r="Q2345" s="458"/>
      <c r="R2345" s="459"/>
    </row>
    <row r="2346" spans="1:18" ht="36">
      <c r="A2346" s="493"/>
      <c r="B2346" s="387">
        <v>46191</v>
      </c>
      <c r="C2346" s="388">
        <v>46174</v>
      </c>
      <c r="D2346" s="39" t="s">
        <v>353</v>
      </c>
      <c r="E2346" s="39" t="s">
        <v>153</v>
      </c>
      <c r="F2346" s="498">
        <v>11942.9</v>
      </c>
      <c r="G2346" s="486" t="s">
        <v>3736</v>
      </c>
      <c r="H2346" s="389" t="s">
        <v>280</v>
      </c>
      <c r="I2346" s="484" t="s">
        <v>3381</v>
      </c>
      <c r="J2346" s="487" t="s">
        <v>683</v>
      </c>
      <c r="K2346" s="183"/>
      <c r="L2346" s="183"/>
      <c r="M2346" s="484" t="s">
        <v>726</v>
      </c>
      <c r="N2346" s="487">
        <v>11062026</v>
      </c>
      <c r="O2346" s="487" t="s">
        <v>3493</v>
      </c>
      <c r="P2346" s="484" t="s">
        <v>1553</v>
      </c>
      <c r="Q2346" s="458"/>
      <c r="R2346" s="459"/>
    </row>
    <row r="2347" spans="1:18" ht="36">
      <c r="A2347" s="493"/>
      <c r="B2347" s="387">
        <v>46191</v>
      </c>
      <c r="C2347" s="388">
        <v>46174</v>
      </c>
      <c r="D2347" s="39" t="s">
        <v>353</v>
      </c>
      <c r="E2347" s="39" t="s">
        <v>153</v>
      </c>
      <c r="F2347" s="498">
        <v>29297.4</v>
      </c>
      <c r="G2347" s="486" t="s">
        <v>3737</v>
      </c>
      <c r="H2347" s="389" t="s">
        <v>280</v>
      </c>
      <c r="I2347" s="484" t="s">
        <v>3381</v>
      </c>
      <c r="J2347" s="487" t="s">
        <v>683</v>
      </c>
      <c r="K2347" s="183"/>
      <c r="L2347" s="183"/>
      <c r="M2347" s="484" t="s">
        <v>726</v>
      </c>
      <c r="N2347" s="487">
        <v>12062026</v>
      </c>
      <c r="O2347" s="487" t="s">
        <v>3495</v>
      </c>
      <c r="P2347" s="484" t="s">
        <v>1553</v>
      </c>
      <c r="Q2347" s="458"/>
      <c r="R2347" s="459"/>
    </row>
    <row r="2348" spans="1:18" ht="36">
      <c r="A2348" s="493"/>
      <c r="B2348" s="387">
        <v>46191</v>
      </c>
      <c r="C2348" s="388">
        <v>46174</v>
      </c>
      <c r="D2348" s="39" t="s">
        <v>353</v>
      </c>
      <c r="E2348" s="39" t="s">
        <v>153</v>
      </c>
      <c r="F2348" s="498">
        <v>7597.2</v>
      </c>
      <c r="G2348" s="486" t="s">
        <v>821</v>
      </c>
      <c r="H2348" s="389" t="s">
        <v>280</v>
      </c>
      <c r="I2348" s="484" t="s">
        <v>3381</v>
      </c>
      <c r="J2348" s="487" t="s">
        <v>683</v>
      </c>
      <c r="K2348" s="183"/>
      <c r="L2348" s="183"/>
      <c r="M2348" s="484" t="s">
        <v>706</v>
      </c>
      <c r="N2348" s="487">
        <v>2057887495</v>
      </c>
      <c r="O2348" s="487" t="s">
        <v>3296</v>
      </c>
      <c r="P2348" s="484" t="s">
        <v>1553</v>
      </c>
      <c r="Q2348" s="458"/>
      <c r="R2348" s="459"/>
    </row>
    <row r="2349" spans="1:18" ht="84">
      <c r="A2349" s="493"/>
      <c r="B2349" s="387">
        <v>46191</v>
      </c>
      <c r="C2349" s="388">
        <v>46174</v>
      </c>
      <c r="D2349" s="39" t="s">
        <v>353</v>
      </c>
      <c r="E2349" s="39" t="s">
        <v>153</v>
      </c>
      <c r="F2349" s="498">
        <v>27455</v>
      </c>
      <c r="G2349" s="486" t="s">
        <v>3738</v>
      </c>
      <c r="H2349" s="389" t="s">
        <v>280</v>
      </c>
      <c r="I2349" s="484" t="s">
        <v>3449</v>
      </c>
      <c r="J2349" s="487" t="s">
        <v>3450</v>
      </c>
      <c r="K2349" s="183"/>
      <c r="L2349" s="183"/>
      <c r="M2349" s="484" t="s">
        <v>707</v>
      </c>
      <c r="N2349" s="487">
        <v>20</v>
      </c>
      <c r="O2349" s="487" t="s">
        <v>3296</v>
      </c>
      <c r="P2349" s="484" t="s">
        <v>1553</v>
      </c>
      <c r="Q2349" s="458"/>
      <c r="R2349" s="459"/>
    </row>
    <row r="2350" spans="1:18" ht="36">
      <c r="A2350" s="493"/>
      <c r="B2350" s="387">
        <v>46191</v>
      </c>
      <c r="C2350" s="388">
        <v>46174</v>
      </c>
      <c r="D2350" s="39" t="s">
        <v>353</v>
      </c>
      <c r="E2350" s="39" t="s">
        <v>334</v>
      </c>
      <c r="F2350" s="498">
        <v>3247089.02</v>
      </c>
      <c r="G2350" s="486" t="s">
        <v>3739</v>
      </c>
      <c r="H2350" s="389" t="s">
        <v>280</v>
      </c>
      <c r="I2350" s="484" t="s">
        <v>771</v>
      </c>
      <c r="J2350" s="487" t="s">
        <v>772</v>
      </c>
      <c r="K2350" s="183"/>
      <c r="L2350" s="183"/>
      <c r="M2350" s="484" t="s">
        <v>719</v>
      </c>
      <c r="N2350" s="487">
        <v>18062026</v>
      </c>
      <c r="O2350" s="487" t="s">
        <v>3296</v>
      </c>
      <c r="P2350" s="484" t="s">
        <v>1554</v>
      </c>
      <c r="Q2350" s="458"/>
      <c r="R2350" s="459"/>
    </row>
    <row r="2351" spans="1:18" ht="48">
      <c r="A2351" s="493"/>
      <c r="B2351" s="387">
        <v>46191</v>
      </c>
      <c r="C2351" s="388">
        <v>46174</v>
      </c>
      <c r="D2351" s="39" t="s">
        <v>353</v>
      </c>
      <c r="E2351" s="39" t="s">
        <v>334</v>
      </c>
      <c r="F2351" s="498">
        <v>84142.399999999994</v>
      </c>
      <c r="G2351" s="486" t="s">
        <v>3740</v>
      </c>
      <c r="H2351" s="389" t="s">
        <v>280</v>
      </c>
      <c r="I2351" s="484" t="s">
        <v>771</v>
      </c>
      <c r="J2351" s="487" t="s">
        <v>772</v>
      </c>
      <c r="K2351" s="183"/>
      <c r="L2351" s="183"/>
      <c r="M2351" s="484" t="s">
        <v>711</v>
      </c>
      <c r="N2351" s="487">
        <v>62026</v>
      </c>
      <c r="O2351" s="487" t="s">
        <v>3499</v>
      </c>
      <c r="P2351" s="484" t="s">
        <v>1554</v>
      </c>
      <c r="Q2351" s="458"/>
      <c r="R2351" s="459"/>
    </row>
    <row r="2352" spans="1:18" ht="36">
      <c r="A2352" s="493"/>
      <c r="B2352" s="387">
        <v>46191</v>
      </c>
      <c r="C2352" s="388">
        <v>46174</v>
      </c>
      <c r="D2352" s="38" t="s">
        <v>132</v>
      </c>
      <c r="E2352" s="38" t="s">
        <v>214</v>
      </c>
      <c r="F2352" s="498">
        <v>649</v>
      </c>
      <c r="G2352" s="486" t="s">
        <v>3741</v>
      </c>
      <c r="H2352" s="389" t="s">
        <v>278</v>
      </c>
      <c r="I2352" s="484" t="s">
        <v>1472</v>
      </c>
      <c r="J2352" s="487" t="s">
        <v>1473</v>
      </c>
      <c r="K2352" s="183"/>
      <c r="L2352" s="183"/>
      <c r="M2352" s="484" t="s">
        <v>706</v>
      </c>
      <c r="N2352" s="487">
        <v>130629060</v>
      </c>
      <c r="O2352" s="487" t="s">
        <v>3294</v>
      </c>
      <c r="P2352" s="484" t="s">
        <v>1553</v>
      </c>
      <c r="Q2352" s="458"/>
      <c r="R2352" s="459"/>
    </row>
    <row r="2353" spans="1:18" ht="48">
      <c r="A2353" s="493"/>
      <c r="B2353" s="387">
        <v>46191</v>
      </c>
      <c r="C2353" s="388">
        <v>46174</v>
      </c>
      <c r="D2353" s="495" t="s">
        <v>248</v>
      </c>
      <c r="E2353" s="484" t="s">
        <v>1551</v>
      </c>
      <c r="F2353" s="498">
        <v>965.2</v>
      </c>
      <c r="G2353" s="486" t="s">
        <v>3742</v>
      </c>
      <c r="H2353" s="389" t="s">
        <v>737</v>
      </c>
      <c r="I2353" s="484" t="s">
        <v>2252</v>
      </c>
      <c r="J2353" s="487" t="s">
        <v>2253</v>
      </c>
      <c r="K2353" s="183"/>
      <c r="L2353" s="183"/>
      <c r="M2353" s="484" t="s">
        <v>913</v>
      </c>
      <c r="N2353" s="487">
        <v>61</v>
      </c>
      <c r="O2353" s="487" t="s">
        <v>3500</v>
      </c>
      <c r="P2353" s="484" t="s">
        <v>1556</v>
      </c>
      <c r="Q2353" s="458"/>
      <c r="R2353" s="459"/>
    </row>
    <row r="2354" spans="1:18" ht="60">
      <c r="A2354" s="493"/>
      <c r="B2354" s="387">
        <v>46191</v>
      </c>
      <c r="C2354" s="388">
        <v>46174</v>
      </c>
      <c r="D2354" s="495" t="s">
        <v>248</v>
      </c>
      <c r="E2354" s="484" t="s">
        <v>597</v>
      </c>
      <c r="F2354" s="498">
        <v>1397.8</v>
      </c>
      <c r="G2354" s="486" t="s">
        <v>3743</v>
      </c>
      <c r="H2354" s="462" t="s">
        <v>278</v>
      </c>
      <c r="I2354" s="484" t="s">
        <v>1472</v>
      </c>
      <c r="J2354" s="487" t="s">
        <v>1473</v>
      </c>
      <c r="K2354" s="183"/>
      <c r="L2354" s="183"/>
      <c r="M2354" s="484" t="s">
        <v>706</v>
      </c>
      <c r="N2354" s="487">
        <v>3146</v>
      </c>
      <c r="O2354" s="487" t="s">
        <v>3296</v>
      </c>
      <c r="P2354" s="484" t="s">
        <v>1553</v>
      </c>
      <c r="Q2354" s="458"/>
      <c r="R2354" s="459"/>
    </row>
    <row r="2355" spans="1:18" ht="36">
      <c r="A2355" s="493"/>
      <c r="B2355" s="387">
        <v>46192</v>
      </c>
      <c r="C2355" s="388">
        <v>46143</v>
      </c>
      <c r="D2355" s="38" t="s">
        <v>132</v>
      </c>
      <c r="E2355" s="38" t="s">
        <v>218</v>
      </c>
      <c r="F2355" s="498">
        <v>6327</v>
      </c>
      <c r="G2355" s="486" t="s">
        <v>3340</v>
      </c>
      <c r="H2355" s="389" t="s">
        <v>278</v>
      </c>
      <c r="I2355" s="484" t="s">
        <v>3451</v>
      </c>
      <c r="J2355" s="487" t="s">
        <v>3452</v>
      </c>
      <c r="K2355" s="183"/>
      <c r="L2355" s="183"/>
      <c r="M2355" s="484" t="s">
        <v>708</v>
      </c>
      <c r="N2355" s="487">
        <v>1271</v>
      </c>
      <c r="O2355" s="487" t="s">
        <v>2539</v>
      </c>
      <c r="P2355" s="484" t="s">
        <v>1553</v>
      </c>
      <c r="Q2355" s="458"/>
      <c r="R2355" s="459"/>
    </row>
    <row r="2356" spans="1:18" ht="36">
      <c r="A2356" s="493"/>
      <c r="B2356" s="387">
        <v>46192</v>
      </c>
      <c r="C2356" s="388">
        <v>46174</v>
      </c>
      <c r="D2356" s="495" t="s">
        <v>248</v>
      </c>
      <c r="E2356" s="60" t="s">
        <v>171</v>
      </c>
      <c r="F2356" s="498">
        <v>287.44</v>
      </c>
      <c r="G2356" s="486" t="s">
        <v>3692</v>
      </c>
      <c r="H2356" s="389" t="s">
        <v>278</v>
      </c>
      <c r="I2356" s="484" t="s">
        <v>676</v>
      </c>
      <c r="J2356" s="487" t="s">
        <v>677</v>
      </c>
      <c r="K2356" s="183"/>
      <c r="L2356" s="183"/>
      <c r="M2356" s="484" t="s">
        <v>704</v>
      </c>
      <c r="N2356" s="487">
        <v>367</v>
      </c>
      <c r="O2356" s="487" t="s">
        <v>3489</v>
      </c>
      <c r="P2356" s="484" t="s">
        <v>1553</v>
      </c>
      <c r="Q2356" s="458"/>
      <c r="R2356" s="459"/>
    </row>
    <row r="2357" spans="1:18" ht="36">
      <c r="A2357" s="493"/>
      <c r="B2357" s="387">
        <v>46192</v>
      </c>
      <c r="C2357" s="388">
        <v>46174</v>
      </c>
      <c r="D2357" s="495" t="s">
        <v>248</v>
      </c>
      <c r="E2357" s="484" t="s">
        <v>590</v>
      </c>
      <c r="F2357" s="498">
        <v>330.7</v>
      </c>
      <c r="G2357" s="486" t="s">
        <v>1622</v>
      </c>
      <c r="H2357" s="389" t="s">
        <v>736</v>
      </c>
      <c r="I2357" s="484" t="s">
        <v>670</v>
      </c>
      <c r="J2357" s="487" t="s">
        <v>671</v>
      </c>
      <c r="K2357" s="183"/>
      <c r="L2357" s="183"/>
      <c r="M2357" s="484" t="s">
        <v>704</v>
      </c>
      <c r="N2357" s="487">
        <v>38536</v>
      </c>
      <c r="O2357" s="487" t="s">
        <v>3490</v>
      </c>
      <c r="P2357" s="484" t="s">
        <v>1554</v>
      </c>
      <c r="Q2357" s="458"/>
      <c r="R2357" s="459"/>
    </row>
    <row r="2358" spans="1:18" s="439" customFormat="1" ht="24">
      <c r="A2358" s="502"/>
      <c r="B2358" s="503">
        <v>46192</v>
      </c>
      <c r="C2358" s="504">
        <v>46174</v>
      </c>
      <c r="D2358" s="495" t="s">
        <v>248</v>
      </c>
      <c r="E2358" s="506" t="s">
        <v>590</v>
      </c>
      <c r="F2358" s="512">
        <v>2817.76</v>
      </c>
      <c r="G2358" s="507"/>
      <c r="H2358" s="389" t="s">
        <v>736</v>
      </c>
      <c r="I2358" s="506" t="s">
        <v>670</v>
      </c>
      <c r="J2358" s="509" t="s">
        <v>671</v>
      </c>
      <c r="K2358" s="510"/>
      <c r="L2358" s="510"/>
      <c r="M2358" s="506"/>
      <c r="N2358" s="509"/>
      <c r="O2358" s="509"/>
      <c r="P2358" s="484" t="s">
        <v>1554</v>
      </c>
      <c r="Q2358" s="505"/>
      <c r="R2358" s="511"/>
    </row>
    <row r="2359" spans="1:18" ht="36">
      <c r="A2359" s="493"/>
      <c r="B2359" s="387">
        <v>46192</v>
      </c>
      <c r="C2359" s="388">
        <v>46174</v>
      </c>
      <c r="D2359" s="495" t="s">
        <v>248</v>
      </c>
      <c r="E2359" s="484" t="s">
        <v>598</v>
      </c>
      <c r="F2359" s="499">
        <v>-100</v>
      </c>
      <c r="G2359" s="486" t="s">
        <v>3728</v>
      </c>
      <c r="H2359" s="389" t="s">
        <v>736</v>
      </c>
      <c r="I2359" s="484" t="s">
        <v>3397</v>
      </c>
      <c r="J2359" s="487" t="s">
        <v>3398</v>
      </c>
      <c r="K2359" s="183"/>
      <c r="L2359" s="183"/>
      <c r="M2359" s="484" t="s">
        <v>707</v>
      </c>
      <c r="N2359" s="487">
        <v>44</v>
      </c>
      <c r="O2359" s="487" t="s">
        <v>3485</v>
      </c>
      <c r="P2359" s="484" t="s">
        <v>1554</v>
      </c>
      <c r="Q2359" s="458"/>
      <c r="R2359" s="459"/>
    </row>
    <row r="2360" spans="1:18" ht="36">
      <c r="A2360" s="493"/>
      <c r="B2360" s="387">
        <v>46192</v>
      </c>
      <c r="C2360" s="388">
        <v>46174</v>
      </c>
      <c r="D2360" s="495" t="s">
        <v>248</v>
      </c>
      <c r="E2360" s="484" t="s">
        <v>595</v>
      </c>
      <c r="F2360" s="497">
        <v>-1788.95</v>
      </c>
      <c r="G2360" s="486" t="s">
        <v>3744</v>
      </c>
      <c r="H2360" s="462" t="s">
        <v>278</v>
      </c>
      <c r="I2360" s="484" t="s">
        <v>649</v>
      </c>
      <c r="J2360" s="487" t="s">
        <v>650</v>
      </c>
      <c r="K2360" s="183"/>
      <c r="L2360" s="183"/>
      <c r="M2360" s="484" t="s">
        <v>707</v>
      </c>
      <c r="N2360" s="487">
        <v>1385</v>
      </c>
      <c r="O2360" s="487" t="s">
        <v>3485</v>
      </c>
      <c r="P2360" s="484" t="s">
        <v>1554</v>
      </c>
      <c r="Q2360" s="458"/>
      <c r="R2360" s="459"/>
    </row>
    <row r="2361" spans="1:18" ht="48">
      <c r="A2361" s="493"/>
      <c r="B2361" s="387">
        <v>46192</v>
      </c>
      <c r="C2361" s="388">
        <v>46174</v>
      </c>
      <c r="D2361" s="39" t="s">
        <v>353</v>
      </c>
      <c r="E2361" s="39" t="s">
        <v>334</v>
      </c>
      <c r="F2361" s="498">
        <v>360000</v>
      </c>
      <c r="G2361" s="486" t="s">
        <v>3745</v>
      </c>
      <c r="H2361" s="389" t="s">
        <v>280</v>
      </c>
      <c r="I2361" s="484" t="s">
        <v>3453</v>
      </c>
      <c r="J2361" s="487" t="s">
        <v>3454</v>
      </c>
      <c r="K2361" s="183"/>
      <c r="L2361" s="183"/>
      <c r="M2361" s="484" t="s">
        <v>719</v>
      </c>
      <c r="N2361" s="487">
        <v>62026</v>
      </c>
      <c r="O2361" s="487" t="s">
        <v>3501</v>
      </c>
      <c r="P2361" s="484" t="s">
        <v>1554</v>
      </c>
      <c r="Q2361" s="458"/>
      <c r="R2361" s="459"/>
    </row>
    <row r="2362" spans="1:18" ht="48">
      <c r="A2362" s="493"/>
      <c r="B2362" s="387">
        <v>46192</v>
      </c>
      <c r="C2362" s="388">
        <v>46174</v>
      </c>
      <c r="D2362" s="39" t="s">
        <v>353</v>
      </c>
      <c r="E2362" s="484" t="s">
        <v>587</v>
      </c>
      <c r="F2362" s="498">
        <v>100</v>
      </c>
      <c r="G2362" s="486" t="s">
        <v>3746</v>
      </c>
      <c r="H2362" s="389" t="s">
        <v>280</v>
      </c>
      <c r="I2362" s="484" t="s">
        <v>3423</v>
      </c>
      <c r="J2362" s="487" t="s">
        <v>770</v>
      </c>
      <c r="K2362" s="183"/>
      <c r="L2362" s="183"/>
      <c r="M2362" s="484" t="s">
        <v>708</v>
      </c>
      <c r="N2362" s="487">
        <v>62026</v>
      </c>
      <c r="O2362" s="487" t="s">
        <v>3485</v>
      </c>
      <c r="P2362" s="484" t="s">
        <v>1553</v>
      </c>
      <c r="Q2362" s="458"/>
      <c r="R2362" s="459"/>
    </row>
    <row r="2363" spans="1:18" ht="48">
      <c r="A2363" s="493"/>
      <c r="B2363" s="387">
        <v>46192</v>
      </c>
      <c r="C2363" s="388">
        <v>46174</v>
      </c>
      <c r="D2363" s="39" t="s">
        <v>353</v>
      </c>
      <c r="E2363" s="484" t="s">
        <v>587</v>
      </c>
      <c r="F2363" s="498">
        <v>100</v>
      </c>
      <c r="G2363" s="486" t="s">
        <v>3747</v>
      </c>
      <c r="H2363" s="389" t="s">
        <v>280</v>
      </c>
      <c r="I2363" s="484" t="s">
        <v>3423</v>
      </c>
      <c r="J2363" s="487" t="s">
        <v>770</v>
      </c>
      <c r="K2363" s="183"/>
      <c r="L2363" s="183"/>
      <c r="M2363" s="484" t="s">
        <v>708</v>
      </c>
      <c r="N2363" s="487">
        <v>62026</v>
      </c>
      <c r="O2363" s="487" t="s">
        <v>3485</v>
      </c>
      <c r="P2363" s="484" t="s">
        <v>1553</v>
      </c>
      <c r="Q2363" s="458"/>
      <c r="R2363" s="459"/>
    </row>
    <row r="2364" spans="1:18" ht="48">
      <c r="A2364" s="493"/>
      <c r="B2364" s="387">
        <v>46192</v>
      </c>
      <c r="C2364" s="388">
        <v>46174</v>
      </c>
      <c r="D2364" s="39" t="s">
        <v>353</v>
      </c>
      <c r="E2364" s="39" t="s">
        <v>334</v>
      </c>
      <c r="F2364" s="498">
        <v>11.4</v>
      </c>
      <c r="G2364" s="486" t="s">
        <v>3748</v>
      </c>
      <c r="H2364" s="389" t="s">
        <v>280</v>
      </c>
      <c r="I2364" s="484" t="s">
        <v>771</v>
      </c>
      <c r="J2364" s="487" t="s">
        <v>772</v>
      </c>
      <c r="K2364" s="183"/>
      <c r="L2364" s="183"/>
      <c r="M2364" s="484" t="s">
        <v>711</v>
      </c>
      <c r="N2364" s="487">
        <v>62026</v>
      </c>
      <c r="O2364" s="487" t="s">
        <v>3502</v>
      </c>
      <c r="P2364" s="484" t="s">
        <v>1554</v>
      </c>
      <c r="Q2364" s="458"/>
      <c r="R2364" s="459"/>
    </row>
    <row r="2365" spans="1:18" ht="36">
      <c r="A2365" s="493"/>
      <c r="B2365" s="387">
        <v>46192</v>
      </c>
      <c r="C2365" s="388">
        <v>46174</v>
      </c>
      <c r="D2365" s="495" t="s">
        <v>248</v>
      </c>
      <c r="E2365" s="484" t="s">
        <v>597</v>
      </c>
      <c r="F2365" s="485">
        <v>100</v>
      </c>
      <c r="G2365" s="486" t="s">
        <v>3749</v>
      </c>
      <c r="H2365" s="462" t="s">
        <v>278</v>
      </c>
      <c r="I2365" s="484" t="s">
        <v>881</v>
      </c>
      <c r="J2365" s="487" t="s">
        <v>773</v>
      </c>
      <c r="K2365" s="183"/>
      <c r="L2365" s="183"/>
      <c r="M2365" s="484" t="s">
        <v>710</v>
      </c>
      <c r="N2365" s="487">
        <v>92541</v>
      </c>
      <c r="O2365" s="487" t="s">
        <v>3501</v>
      </c>
      <c r="P2365" s="484" t="s">
        <v>735</v>
      </c>
      <c r="Q2365" s="458"/>
      <c r="R2365" s="459"/>
    </row>
    <row r="2366" spans="1:18" ht="48">
      <c r="A2366" s="493"/>
      <c r="B2366" s="387">
        <v>46192</v>
      </c>
      <c r="C2366" s="388">
        <v>46174</v>
      </c>
      <c r="D2366" s="495" t="s">
        <v>248</v>
      </c>
      <c r="E2366" s="484" t="s">
        <v>610</v>
      </c>
      <c r="F2366" s="485">
        <v>12.5</v>
      </c>
      <c r="G2366" s="486" t="s">
        <v>3750</v>
      </c>
      <c r="H2366" s="389" t="s">
        <v>278</v>
      </c>
      <c r="I2366" s="484" t="s">
        <v>881</v>
      </c>
      <c r="J2366" s="487" t="s">
        <v>773</v>
      </c>
      <c r="K2366" s="183"/>
      <c r="L2366" s="183"/>
      <c r="M2366" s="484" t="s">
        <v>710</v>
      </c>
      <c r="N2366" s="487">
        <v>76822</v>
      </c>
      <c r="O2366" s="487" t="s">
        <v>3501</v>
      </c>
      <c r="P2366" s="484" t="s">
        <v>735</v>
      </c>
      <c r="Q2366" s="458"/>
      <c r="R2366" s="459"/>
    </row>
    <row r="2367" spans="1:18" ht="36">
      <c r="A2367" s="493"/>
      <c r="B2367" s="387">
        <v>46192</v>
      </c>
      <c r="C2367" s="388">
        <v>46174</v>
      </c>
      <c r="D2367" s="495" t="s">
        <v>248</v>
      </c>
      <c r="E2367" s="484" t="s">
        <v>597</v>
      </c>
      <c r="F2367" s="485">
        <v>39.96</v>
      </c>
      <c r="G2367" s="486" t="s">
        <v>3751</v>
      </c>
      <c r="H2367" s="462" t="s">
        <v>278</v>
      </c>
      <c r="I2367" s="484" t="s">
        <v>881</v>
      </c>
      <c r="J2367" s="487" t="s">
        <v>773</v>
      </c>
      <c r="K2367" s="183"/>
      <c r="L2367" s="183"/>
      <c r="M2367" s="484" t="s">
        <v>710</v>
      </c>
      <c r="N2367" s="487">
        <v>9976</v>
      </c>
      <c r="O2367" s="487" t="s">
        <v>3501</v>
      </c>
      <c r="P2367" s="484" t="s">
        <v>735</v>
      </c>
      <c r="Q2367" s="458"/>
      <c r="R2367" s="459"/>
    </row>
    <row r="2368" spans="1:18" ht="48">
      <c r="A2368" s="493"/>
      <c r="B2368" s="387">
        <v>46195</v>
      </c>
      <c r="C2368" s="388">
        <v>46143</v>
      </c>
      <c r="D2368" s="495" t="s">
        <v>248</v>
      </c>
      <c r="E2368" s="60" t="s">
        <v>87</v>
      </c>
      <c r="F2368" s="498">
        <v>1597.68</v>
      </c>
      <c r="G2368" s="486" t="s">
        <v>3752</v>
      </c>
      <c r="H2368" s="389" t="s">
        <v>278</v>
      </c>
      <c r="I2368" s="484" t="s">
        <v>674</v>
      </c>
      <c r="J2368" s="487" t="s">
        <v>675</v>
      </c>
      <c r="K2368" s="183"/>
      <c r="L2368" s="183"/>
      <c r="M2368" s="484" t="s">
        <v>704</v>
      </c>
      <c r="N2368" s="487">
        <v>3060</v>
      </c>
      <c r="O2368" s="487" t="s">
        <v>2538</v>
      </c>
      <c r="P2368" s="484" t="s">
        <v>1553</v>
      </c>
      <c r="Q2368" s="458"/>
      <c r="R2368" s="459"/>
    </row>
    <row r="2369" spans="1:18" ht="36">
      <c r="A2369" s="493"/>
      <c r="B2369" s="387">
        <v>46195</v>
      </c>
      <c r="C2369" s="388">
        <v>46143</v>
      </c>
      <c r="D2369" s="38" t="s">
        <v>132</v>
      </c>
      <c r="E2369" s="38" t="s">
        <v>218</v>
      </c>
      <c r="F2369" s="498">
        <v>5135</v>
      </c>
      <c r="G2369" s="486" t="s">
        <v>3341</v>
      </c>
      <c r="H2369" s="389" t="s">
        <v>278</v>
      </c>
      <c r="I2369" s="484" t="s">
        <v>3455</v>
      </c>
      <c r="J2369" s="487" t="s">
        <v>3456</v>
      </c>
      <c r="K2369" s="183"/>
      <c r="L2369" s="183"/>
      <c r="M2369" s="484" t="s">
        <v>704</v>
      </c>
      <c r="N2369" s="487">
        <v>7410</v>
      </c>
      <c r="O2369" s="487" t="s">
        <v>2541</v>
      </c>
      <c r="P2369" s="484" t="s">
        <v>1553</v>
      </c>
      <c r="Q2369" s="458"/>
      <c r="R2369" s="459"/>
    </row>
    <row r="2370" spans="1:18" ht="144">
      <c r="A2370" s="493"/>
      <c r="B2370" s="387">
        <v>46195</v>
      </c>
      <c r="C2370" s="388">
        <v>46174</v>
      </c>
      <c r="D2370" s="495" t="s">
        <v>248</v>
      </c>
      <c r="E2370" s="484" t="s">
        <v>597</v>
      </c>
      <c r="F2370" s="498">
        <v>289</v>
      </c>
      <c r="G2370" s="486" t="s">
        <v>3753</v>
      </c>
      <c r="H2370" s="462" t="s">
        <v>278</v>
      </c>
      <c r="I2370" s="484" t="s">
        <v>1125</v>
      </c>
      <c r="J2370" s="487" t="s">
        <v>1126</v>
      </c>
      <c r="K2370" s="183"/>
      <c r="L2370" s="183"/>
      <c r="M2370" s="484" t="s">
        <v>704</v>
      </c>
      <c r="N2370" s="487">
        <v>2926</v>
      </c>
      <c r="O2370" s="487" t="s">
        <v>3485</v>
      </c>
      <c r="P2370" s="484" t="s">
        <v>1553</v>
      </c>
      <c r="Q2370" s="458"/>
      <c r="R2370" s="459"/>
    </row>
    <row r="2371" spans="1:18" ht="144">
      <c r="A2371" s="493"/>
      <c r="B2371" s="387">
        <v>46195</v>
      </c>
      <c r="C2371" s="388">
        <v>46174</v>
      </c>
      <c r="D2371" s="495" t="s">
        <v>248</v>
      </c>
      <c r="E2371" s="60" t="s">
        <v>0</v>
      </c>
      <c r="F2371" s="498">
        <v>698.94</v>
      </c>
      <c r="G2371" s="486" t="s">
        <v>3753</v>
      </c>
      <c r="H2371" s="389" t="s">
        <v>278</v>
      </c>
      <c r="I2371" s="484" t="s">
        <v>1125</v>
      </c>
      <c r="J2371" s="487" t="s">
        <v>1126</v>
      </c>
      <c r="K2371" s="183"/>
      <c r="L2371" s="183"/>
      <c r="M2371" s="484" t="s">
        <v>704</v>
      </c>
      <c r="N2371" s="487">
        <v>2926</v>
      </c>
      <c r="O2371" s="487" t="s">
        <v>3485</v>
      </c>
      <c r="P2371" s="484" t="s">
        <v>1553</v>
      </c>
      <c r="Q2371" s="458"/>
      <c r="R2371" s="459"/>
    </row>
    <row r="2372" spans="1:18" ht="84">
      <c r="A2372" s="493"/>
      <c r="B2372" s="387">
        <v>46195</v>
      </c>
      <c r="C2372" s="388">
        <v>46174</v>
      </c>
      <c r="D2372" s="495" t="s">
        <v>248</v>
      </c>
      <c r="E2372" s="484" t="s">
        <v>597</v>
      </c>
      <c r="F2372" s="498">
        <v>995.7</v>
      </c>
      <c r="G2372" s="486" t="s">
        <v>3754</v>
      </c>
      <c r="H2372" s="462" t="s">
        <v>278</v>
      </c>
      <c r="I2372" s="484" t="s">
        <v>3457</v>
      </c>
      <c r="J2372" s="487" t="s">
        <v>3458</v>
      </c>
      <c r="K2372" s="183"/>
      <c r="L2372" s="183"/>
      <c r="M2372" s="484" t="s">
        <v>704</v>
      </c>
      <c r="N2372" s="487">
        <v>9810</v>
      </c>
      <c r="O2372" s="487" t="s">
        <v>3485</v>
      </c>
      <c r="P2372" s="484" t="s">
        <v>1553</v>
      </c>
      <c r="Q2372" s="458"/>
      <c r="R2372" s="459"/>
    </row>
    <row r="2373" spans="1:18" ht="60">
      <c r="A2373" s="493"/>
      <c r="B2373" s="387">
        <v>46195</v>
      </c>
      <c r="C2373" s="388">
        <v>46174</v>
      </c>
      <c r="D2373" s="495" t="s">
        <v>248</v>
      </c>
      <c r="E2373" s="60" t="s">
        <v>171</v>
      </c>
      <c r="F2373" s="498">
        <v>7073.36</v>
      </c>
      <c r="G2373" s="486" t="s">
        <v>3755</v>
      </c>
      <c r="H2373" s="389" t="s">
        <v>278</v>
      </c>
      <c r="I2373" s="484" t="s">
        <v>678</v>
      </c>
      <c r="J2373" s="487" t="s">
        <v>679</v>
      </c>
      <c r="K2373" s="183"/>
      <c r="L2373" s="183"/>
      <c r="M2373" s="484" t="s">
        <v>704</v>
      </c>
      <c r="N2373" s="487">
        <v>28240</v>
      </c>
      <c r="O2373" s="487" t="s">
        <v>3293</v>
      </c>
      <c r="P2373" s="484" t="s">
        <v>1553</v>
      </c>
      <c r="Q2373" s="458"/>
      <c r="R2373" s="459"/>
    </row>
    <row r="2374" spans="1:18" ht="36">
      <c r="A2374" s="493"/>
      <c r="B2374" s="387">
        <v>46195</v>
      </c>
      <c r="C2374" s="388">
        <v>46174</v>
      </c>
      <c r="D2374" s="495" t="s">
        <v>248</v>
      </c>
      <c r="E2374" s="59" t="s">
        <v>167</v>
      </c>
      <c r="F2374" s="498">
        <v>118.95</v>
      </c>
      <c r="G2374" s="486" t="s">
        <v>3756</v>
      </c>
      <c r="H2374" s="389" t="s">
        <v>278</v>
      </c>
      <c r="I2374" s="484" t="s">
        <v>666</v>
      </c>
      <c r="J2374" s="487" t="s">
        <v>667</v>
      </c>
      <c r="K2374" s="183"/>
      <c r="L2374" s="183"/>
      <c r="M2374" s="484" t="s">
        <v>717</v>
      </c>
      <c r="N2374" s="487">
        <v>544516851</v>
      </c>
      <c r="O2374" s="487" t="s">
        <v>3294</v>
      </c>
      <c r="P2374" s="484" t="s">
        <v>1553</v>
      </c>
      <c r="Q2374" s="458"/>
      <c r="R2374" s="459"/>
    </row>
    <row r="2375" spans="1:18" ht="36">
      <c r="A2375" s="493"/>
      <c r="B2375" s="387">
        <v>46195</v>
      </c>
      <c r="C2375" s="388">
        <v>46174</v>
      </c>
      <c r="D2375" s="495" t="s">
        <v>248</v>
      </c>
      <c r="E2375" s="484" t="s">
        <v>597</v>
      </c>
      <c r="F2375" s="485">
        <v>80</v>
      </c>
      <c r="G2375" s="486" t="s">
        <v>3757</v>
      </c>
      <c r="H2375" s="462" t="s">
        <v>736</v>
      </c>
      <c r="I2375" s="484" t="s">
        <v>881</v>
      </c>
      <c r="J2375" s="487" t="s">
        <v>773</v>
      </c>
      <c r="K2375" s="183"/>
      <c r="L2375" s="183"/>
      <c r="M2375" s="484" t="s">
        <v>710</v>
      </c>
      <c r="N2375" s="487">
        <v>6670</v>
      </c>
      <c r="O2375" s="487" t="s">
        <v>3500</v>
      </c>
      <c r="P2375" s="484" t="s">
        <v>735</v>
      </c>
      <c r="Q2375" s="458"/>
      <c r="R2375" s="459"/>
    </row>
    <row r="2376" spans="1:18" ht="48">
      <c r="A2376" s="493"/>
      <c r="B2376" s="387">
        <v>46196</v>
      </c>
      <c r="C2376" s="388">
        <v>46174</v>
      </c>
      <c r="D2376" s="495" t="s">
        <v>248</v>
      </c>
      <c r="E2376" s="484" t="s">
        <v>597</v>
      </c>
      <c r="F2376" s="498">
        <v>1414.33</v>
      </c>
      <c r="G2376" s="486" t="s">
        <v>3758</v>
      </c>
      <c r="H2376" s="462" t="s">
        <v>278</v>
      </c>
      <c r="I2376" s="484" t="s">
        <v>1421</v>
      </c>
      <c r="J2376" s="487" t="s">
        <v>2120</v>
      </c>
      <c r="K2376" s="183"/>
      <c r="L2376" s="183"/>
      <c r="M2376" s="484" t="s">
        <v>704</v>
      </c>
      <c r="N2376" s="487">
        <v>15806304</v>
      </c>
      <c r="O2376" s="487" t="s">
        <v>3293</v>
      </c>
      <c r="P2376" s="484" t="s">
        <v>1553</v>
      </c>
      <c r="Q2376" s="458"/>
      <c r="R2376" s="459"/>
    </row>
    <row r="2377" spans="1:18" ht="48">
      <c r="A2377" s="493"/>
      <c r="B2377" s="387">
        <v>46196</v>
      </c>
      <c r="C2377" s="388">
        <v>46174</v>
      </c>
      <c r="D2377" s="495" t="s">
        <v>248</v>
      </c>
      <c r="E2377" s="60" t="s">
        <v>0</v>
      </c>
      <c r="F2377" s="498">
        <v>93.17</v>
      </c>
      <c r="G2377" s="486" t="s">
        <v>3758</v>
      </c>
      <c r="H2377" s="389" t="s">
        <v>278</v>
      </c>
      <c r="I2377" s="484" t="s">
        <v>1421</v>
      </c>
      <c r="J2377" s="487" t="s">
        <v>2120</v>
      </c>
      <c r="K2377" s="183"/>
      <c r="L2377" s="183"/>
      <c r="M2377" s="484" t="s">
        <v>704</v>
      </c>
      <c r="N2377" s="487">
        <v>15806304</v>
      </c>
      <c r="O2377" s="487" t="s">
        <v>3293</v>
      </c>
      <c r="P2377" s="484" t="s">
        <v>1553</v>
      </c>
      <c r="Q2377" s="458"/>
      <c r="R2377" s="459"/>
    </row>
    <row r="2378" spans="1:18" ht="36">
      <c r="A2378" s="493"/>
      <c r="B2378" s="387">
        <v>46196</v>
      </c>
      <c r="C2378" s="388">
        <v>46174</v>
      </c>
      <c r="D2378" s="495" t="s">
        <v>248</v>
      </c>
      <c r="E2378" s="60" t="s">
        <v>0</v>
      </c>
      <c r="F2378" s="498">
        <v>303</v>
      </c>
      <c r="G2378" s="486" t="s">
        <v>3759</v>
      </c>
      <c r="H2378" s="389" t="s">
        <v>278</v>
      </c>
      <c r="I2378" s="484" t="s">
        <v>1421</v>
      </c>
      <c r="J2378" s="487" t="s">
        <v>2215</v>
      </c>
      <c r="K2378" s="183"/>
      <c r="L2378" s="183"/>
      <c r="M2378" s="484" t="s">
        <v>704</v>
      </c>
      <c r="N2378" s="487">
        <v>422208</v>
      </c>
      <c r="O2378" s="487" t="s">
        <v>3293</v>
      </c>
      <c r="P2378" s="484" t="s">
        <v>1553</v>
      </c>
      <c r="Q2378" s="458"/>
      <c r="R2378" s="459"/>
    </row>
    <row r="2379" spans="1:18" ht="36">
      <c r="A2379" s="493"/>
      <c r="B2379" s="387">
        <v>46196</v>
      </c>
      <c r="C2379" s="388">
        <v>46174</v>
      </c>
      <c r="D2379" s="495" t="s">
        <v>248</v>
      </c>
      <c r="E2379" s="484" t="s">
        <v>592</v>
      </c>
      <c r="F2379" s="498">
        <v>156.87</v>
      </c>
      <c r="G2379" s="486" t="s">
        <v>3760</v>
      </c>
      <c r="H2379" s="462" t="s">
        <v>737</v>
      </c>
      <c r="I2379" s="484" t="s">
        <v>3459</v>
      </c>
      <c r="J2379" s="487" t="s">
        <v>3460</v>
      </c>
      <c r="K2379" s="183"/>
      <c r="L2379" s="183"/>
      <c r="M2379" s="484" t="s">
        <v>704</v>
      </c>
      <c r="N2379" s="487">
        <v>1348</v>
      </c>
      <c r="O2379" s="487" t="s">
        <v>3497</v>
      </c>
      <c r="P2379" s="484" t="s">
        <v>1553</v>
      </c>
      <c r="Q2379" s="458"/>
      <c r="R2379" s="459"/>
    </row>
    <row r="2380" spans="1:18" ht="60">
      <c r="A2380" s="493"/>
      <c r="B2380" s="387">
        <v>46196</v>
      </c>
      <c r="C2380" s="388">
        <v>46174</v>
      </c>
      <c r="D2380" s="495" t="s">
        <v>248</v>
      </c>
      <c r="E2380" s="484" t="s">
        <v>1213</v>
      </c>
      <c r="F2380" s="498">
        <v>3092.8</v>
      </c>
      <c r="G2380" s="486" t="s">
        <v>3761</v>
      </c>
      <c r="H2380" s="392" t="s">
        <v>1029</v>
      </c>
      <c r="I2380" s="484" t="s">
        <v>2622</v>
      </c>
      <c r="J2380" s="487" t="s">
        <v>2623</v>
      </c>
      <c r="K2380" s="183"/>
      <c r="L2380" s="183"/>
      <c r="M2380" s="484" t="s">
        <v>708</v>
      </c>
      <c r="N2380" s="487">
        <v>70</v>
      </c>
      <c r="O2380" s="487" t="s">
        <v>3503</v>
      </c>
      <c r="P2380" s="484" t="s">
        <v>1553</v>
      </c>
      <c r="Q2380" s="458"/>
      <c r="R2380" s="459"/>
    </row>
    <row r="2381" spans="1:18" ht="108">
      <c r="A2381" s="493"/>
      <c r="B2381" s="387">
        <v>46196</v>
      </c>
      <c r="C2381" s="388">
        <v>46174</v>
      </c>
      <c r="D2381" s="495" t="s">
        <v>248</v>
      </c>
      <c r="E2381" s="484" t="s">
        <v>601</v>
      </c>
      <c r="F2381" s="498">
        <v>96.42</v>
      </c>
      <c r="G2381" s="486" t="s">
        <v>3762</v>
      </c>
      <c r="H2381" s="389" t="s">
        <v>278</v>
      </c>
      <c r="I2381" s="484" t="s">
        <v>643</v>
      </c>
      <c r="J2381" s="487" t="s">
        <v>644</v>
      </c>
      <c r="K2381" s="183"/>
      <c r="L2381" s="183"/>
      <c r="M2381" s="484" t="s">
        <v>708</v>
      </c>
      <c r="N2381" s="487">
        <v>76519</v>
      </c>
      <c r="O2381" s="487" t="s">
        <v>3497</v>
      </c>
      <c r="P2381" s="484" t="s">
        <v>1553</v>
      </c>
      <c r="Q2381" s="458"/>
      <c r="R2381" s="459"/>
    </row>
    <row r="2382" spans="1:18" s="439" customFormat="1" ht="36">
      <c r="A2382" s="502"/>
      <c r="B2382" s="503">
        <v>46198</v>
      </c>
      <c r="C2382" s="504">
        <v>46174</v>
      </c>
      <c r="D2382" s="495" t="s">
        <v>248</v>
      </c>
      <c r="E2382" s="484" t="s">
        <v>802</v>
      </c>
      <c r="F2382" s="516">
        <v>800</v>
      </c>
      <c r="G2382" s="507" t="s">
        <v>3708</v>
      </c>
      <c r="H2382" s="389" t="s">
        <v>737</v>
      </c>
      <c r="I2382" s="506" t="s">
        <v>2638</v>
      </c>
      <c r="J2382" s="509" t="s">
        <v>2639</v>
      </c>
      <c r="K2382" s="510"/>
      <c r="L2382" s="510"/>
      <c r="M2382" s="506" t="s">
        <v>707</v>
      </c>
      <c r="N2382" s="509">
        <v>98</v>
      </c>
      <c r="O2382" s="509" t="s">
        <v>3498</v>
      </c>
      <c r="P2382" s="506" t="s">
        <v>1554</v>
      </c>
      <c r="Q2382" s="505"/>
      <c r="R2382" s="511"/>
    </row>
    <row r="2383" spans="1:18" ht="48">
      <c r="A2383" s="493"/>
      <c r="B2383" s="387">
        <v>46196</v>
      </c>
      <c r="C2383" s="388">
        <v>46174</v>
      </c>
      <c r="D2383" s="495" t="s">
        <v>248</v>
      </c>
      <c r="E2383" s="484" t="s">
        <v>610</v>
      </c>
      <c r="F2383" s="485">
        <v>25</v>
      </c>
      <c r="G2383" s="486" t="s">
        <v>3763</v>
      </c>
      <c r="H2383" s="389" t="s">
        <v>278</v>
      </c>
      <c r="I2383" s="484" t="s">
        <v>881</v>
      </c>
      <c r="J2383" s="487" t="s">
        <v>773</v>
      </c>
      <c r="K2383" s="183"/>
      <c r="L2383" s="183"/>
      <c r="M2383" s="484" t="s">
        <v>710</v>
      </c>
      <c r="N2383" s="487">
        <v>76600</v>
      </c>
      <c r="O2383" s="487" t="s">
        <v>3504</v>
      </c>
      <c r="P2383" s="484" t="s">
        <v>735</v>
      </c>
      <c r="Q2383" s="458"/>
      <c r="R2383" s="459"/>
    </row>
    <row r="2384" spans="1:18" ht="36">
      <c r="A2384" s="493"/>
      <c r="B2384" s="387">
        <v>46196</v>
      </c>
      <c r="C2384" s="388">
        <v>46174</v>
      </c>
      <c r="D2384" s="495" t="s">
        <v>248</v>
      </c>
      <c r="E2384" s="484" t="s">
        <v>591</v>
      </c>
      <c r="F2384" s="498">
        <v>133.27000000000001</v>
      </c>
      <c r="G2384" s="486" t="s">
        <v>2320</v>
      </c>
      <c r="H2384" s="462" t="s">
        <v>736</v>
      </c>
      <c r="I2384" s="484" t="s">
        <v>1495</v>
      </c>
      <c r="J2384" s="487" t="s">
        <v>1496</v>
      </c>
      <c r="K2384" s="183"/>
      <c r="L2384" s="183"/>
      <c r="M2384" s="484" t="s">
        <v>708</v>
      </c>
      <c r="N2384" s="487">
        <v>335</v>
      </c>
      <c r="O2384" s="487" t="s">
        <v>3296</v>
      </c>
      <c r="P2384" s="484" t="s">
        <v>1553</v>
      </c>
      <c r="Q2384" s="458"/>
      <c r="R2384" s="459"/>
    </row>
    <row r="2385" spans="1:18" ht="36">
      <c r="A2385" s="493"/>
      <c r="B2385" s="387">
        <v>46196</v>
      </c>
      <c r="C2385" s="388">
        <v>46174</v>
      </c>
      <c r="D2385" s="495" t="s">
        <v>248</v>
      </c>
      <c r="E2385" s="484" t="s">
        <v>597</v>
      </c>
      <c r="F2385" s="485">
        <v>61</v>
      </c>
      <c r="G2385" s="486" t="s">
        <v>3764</v>
      </c>
      <c r="H2385" s="462" t="s">
        <v>736</v>
      </c>
      <c r="I2385" s="484" t="s">
        <v>881</v>
      </c>
      <c r="J2385" s="487" t="s">
        <v>773</v>
      </c>
      <c r="K2385" s="183"/>
      <c r="L2385" s="183"/>
      <c r="M2385" s="484" t="s">
        <v>710</v>
      </c>
      <c r="N2385" s="487">
        <v>11450</v>
      </c>
      <c r="O2385" s="487" t="s">
        <v>3504</v>
      </c>
      <c r="P2385" s="484" t="s">
        <v>735</v>
      </c>
      <c r="Q2385" s="458"/>
      <c r="R2385" s="459"/>
    </row>
    <row r="2386" spans="1:18" ht="60">
      <c r="A2386" s="493"/>
      <c r="B2386" s="387">
        <v>46196</v>
      </c>
      <c r="C2386" s="388">
        <v>46174</v>
      </c>
      <c r="D2386" s="39" t="s">
        <v>353</v>
      </c>
      <c r="E2386" s="39" t="s">
        <v>153</v>
      </c>
      <c r="F2386" s="498">
        <v>4000</v>
      </c>
      <c r="G2386" s="486" t="s">
        <v>3765</v>
      </c>
      <c r="H2386" s="389" t="s">
        <v>280</v>
      </c>
      <c r="I2386" s="484" t="s">
        <v>3461</v>
      </c>
      <c r="J2386" s="487" t="s">
        <v>3462</v>
      </c>
      <c r="K2386" s="183"/>
      <c r="L2386" s="183"/>
      <c r="M2386" s="484" t="s">
        <v>706</v>
      </c>
      <c r="N2386" s="487">
        <v>2057887497</v>
      </c>
      <c r="O2386" s="487" t="s">
        <v>3504</v>
      </c>
      <c r="P2386" s="484" t="s">
        <v>1553</v>
      </c>
      <c r="Q2386" s="458"/>
      <c r="R2386" s="459"/>
    </row>
    <row r="2387" spans="1:18" ht="72">
      <c r="A2387" s="493"/>
      <c r="B2387" s="387">
        <v>46197</v>
      </c>
      <c r="C2387" s="388">
        <v>46174</v>
      </c>
      <c r="D2387" s="39" t="s">
        <v>353</v>
      </c>
      <c r="E2387" s="39" t="s">
        <v>153</v>
      </c>
      <c r="F2387" s="498">
        <v>4880</v>
      </c>
      <c r="G2387" s="486" t="s">
        <v>3766</v>
      </c>
      <c r="H2387" s="389" t="s">
        <v>280</v>
      </c>
      <c r="I2387" s="484" t="s">
        <v>3430</v>
      </c>
      <c r="J2387" s="487" t="s">
        <v>3431</v>
      </c>
      <c r="K2387" s="183"/>
      <c r="L2387" s="183"/>
      <c r="M2387" s="484" t="s">
        <v>707</v>
      </c>
      <c r="N2387" s="487">
        <v>21</v>
      </c>
      <c r="O2387" s="487" t="s">
        <v>3505</v>
      </c>
      <c r="P2387" s="484" t="s">
        <v>1553</v>
      </c>
      <c r="Q2387" s="458"/>
      <c r="R2387" s="459"/>
    </row>
    <row r="2388" spans="1:18" ht="36">
      <c r="A2388" s="493"/>
      <c r="B2388" s="387">
        <v>46197</v>
      </c>
      <c r="C2388" s="388">
        <v>46174</v>
      </c>
      <c r="D2388" s="39" t="s">
        <v>353</v>
      </c>
      <c r="E2388" s="39" t="s">
        <v>334</v>
      </c>
      <c r="F2388" s="498">
        <v>60</v>
      </c>
      <c r="G2388" s="486" t="s">
        <v>3767</v>
      </c>
      <c r="H2388" s="389" t="s">
        <v>280</v>
      </c>
      <c r="I2388" s="484" t="s">
        <v>3382</v>
      </c>
      <c r="J2388" s="487" t="s">
        <v>3383</v>
      </c>
      <c r="K2388" s="183"/>
      <c r="L2388" s="183"/>
      <c r="M2388" s="484" t="s">
        <v>708</v>
      </c>
      <c r="N2388" s="487">
        <v>62026</v>
      </c>
      <c r="O2388" s="487" t="s">
        <v>3485</v>
      </c>
      <c r="P2388" s="484" t="s">
        <v>1553</v>
      </c>
      <c r="Q2388" s="458"/>
      <c r="R2388" s="459"/>
    </row>
    <row r="2389" spans="1:18" ht="36">
      <c r="A2389" s="493"/>
      <c r="B2389" s="387">
        <v>46197</v>
      </c>
      <c r="C2389" s="388">
        <v>46174</v>
      </c>
      <c r="D2389" s="495" t="s">
        <v>248</v>
      </c>
      <c r="E2389" s="484" t="s">
        <v>591</v>
      </c>
      <c r="F2389" s="485">
        <v>35</v>
      </c>
      <c r="G2389" s="486" t="s">
        <v>3768</v>
      </c>
      <c r="H2389" s="462" t="s">
        <v>736</v>
      </c>
      <c r="I2389" s="484" t="s">
        <v>881</v>
      </c>
      <c r="J2389" s="487" t="s">
        <v>773</v>
      </c>
      <c r="K2389" s="183"/>
      <c r="L2389" s="183"/>
      <c r="M2389" s="484" t="s">
        <v>710</v>
      </c>
      <c r="N2389" s="487">
        <v>76773</v>
      </c>
      <c r="O2389" s="487" t="s">
        <v>3506</v>
      </c>
      <c r="P2389" s="484" t="s">
        <v>735</v>
      </c>
      <c r="Q2389" s="458"/>
      <c r="R2389" s="459"/>
    </row>
    <row r="2390" spans="1:18" ht="48">
      <c r="A2390" s="493"/>
      <c r="B2390" s="387">
        <v>46198</v>
      </c>
      <c r="C2390" s="388">
        <v>46174</v>
      </c>
      <c r="D2390" s="495" t="s">
        <v>248</v>
      </c>
      <c r="E2390" s="484" t="s">
        <v>1218</v>
      </c>
      <c r="F2390" s="498">
        <v>3684.49</v>
      </c>
      <c r="G2390" s="486" t="s">
        <v>3769</v>
      </c>
      <c r="H2390" s="453" t="s">
        <v>736</v>
      </c>
      <c r="I2390" s="484" t="s">
        <v>1135</v>
      </c>
      <c r="J2390" s="487" t="s">
        <v>1136</v>
      </c>
      <c r="K2390" s="183"/>
      <c r="L2390" s="183"/>
      <c r="M2390" s="484" t="s">
        <v>704</v>
      </c>
      <c r="N2390" s="487">
        <v>1795</v>
      </c>
      <c r="O2390" s="487" t="s">
        <v>3491</v>
      </c>
      <c r="P2390" s="484" t="s">
        <v>1554</v>
      </c>
      <c r="Q2390" s="458"/>
      <c r="R2390" s="459"/>
    </row>
    <row r="2391" spans="1:18" ht="84">
      <c r="A2391" s="493"/>
      <c r="B2391" s="387">
        <v>46198</v>
      </c>
      <c r="C2391" s="388">
        <v>46174</v>
      </c>
      <c r="D2391" s="495" t="s">
        <v>248</v>
      </c>
      <c r="E2391" s="484" t="s">
        <v>1550</v>
      </c>
      <c r="F2391" s="498">
        <v>1515.85</v>
      </c>
      <c r="G2391" s="486" t="s">
        <v>3770</v>
      </c>
      <c r="H2391" s="389" t="s">
        <v>736</v>
      </c>
      <c r="I2391" s="484" t="s">
        <v>686</v>
      </c>
      <c r="J2391" s="487" t="s">
        <v>687</v>
      </c>
      <c r="K2391" s="183"/>
      <c r="L2391" s="183"/>
      <c r="M2391" s="484" t="s">
        <v>719</v>
      </c>
      <c r="N2391" s="487">
        <v>2798</v>
      </c>
      <c r="O2391" s="487" t="s">
        <v>3494</v>
      </c>
      <c r="P2391" s="484" t="s">
        <v>1554</v>
      </c>
      <c r="Q2391" s="458"/>
      <c r="R2391" s="459"/>
    </row>
    <row r="2392" spans="1:18" ht="48">
      <c r="A2392" s="493"/>
      <c r="B2392" s="387">
        <v>46198</v>
      </c>
      <c r="C2392" s="388">
        <v>46174</v>
      </c>
      <c r="D2392" s="495" t="s">
        <v>248</v>
      </c>
      <c r="E2392" s="60" t="s">
        <v>78</v>
      </c>
      <c r="F2392" s="498">
        <v>700</v>
      </c>
      <c r="G2392" s="486" t="s">
        <v>3771</v>
      </c>
      <c r="H2392" s="462" t="s">
        <v>737</v>
      </c>
      <c r="I2392" s="484" t="s">
        <v>2160</v>
      </c>
      <c r="J2392" s="487" t="s">
        <v>2161</v>
      </c>
      <c r="K2392" s="183"/>
      <c r="L2392" s="183"/>
      <c r="M2392" s="484" t="s">
        <v>719</v>
      </c>
      <c r="N2392" s="487">
        <v>27</v>
      </c>
      <c r="O2392" s="487" t="s">
        <v>3496</v>
      </c>
      <c r="P2392" s="484" t="s">
        <v>1554</v>
      </c>
      <c r="Q2392" s="458"/>
      <c r="R2392" s="459"/>
    </row>
    <row r="2393" spans="1:18" ht="60">
      <c r="A2393" s="493"/>
      <c r="B2393" s="387">
        <v>46198</v>
      </c>
      <c r="C2393" s="388">
        <v>46174</v>
      </c>
      <c r="D2393" s="495" t="s">
        <v>248</v>
      </c>
      <c r="E2393" s="484" t="s">
        <v>606</v>
      </c>
      <c r="F2393" s="498">
        <v>3000</v>
      </c>
      <c r="G2393" s="486" t="s">
        <v>3772</v>
      </c>
      <c r="H2393" s="389" t="s">
        <v>737</v>
      </c>
      <c r="I2393" s="484" t="s">
        <v>1159</v>
      </c>
      <c r="J2393" s="487" t="s">
        <v>1160</v>
      </c>
      <c r="K2393" s="183"/>
      <c r="L2393" s="183"/>
      <c r="M2393" s="484" t="s">
        <v>707</v>
      </c>
      <c r="N2393" s="487">
        <v>13</v>
      </c>
      <c r="O2393" s="487" t="s">
        <v>3497</v>
      </c>
      <c r="P2393" s="484" t="s">
        <v>1554</v>
      </c>
      <c r="Q2393" s="458"/>
      <c r="R2393" s="459"/>
    </row>
    <row r="2394" spans="1:18" ht="60">
      <c r="A2394" s="493"/>
      <c r="B2394" s="387">
        <v>46198</v>
      </c>
      <c r="C2394" s="388">
        <v>46174</v>
      </c>
      <c r="D2394" s="495" t="s">
        <v>248</v>
      </c>
      <c r="E2394" s="484" t="s">
        <v>610</v>
      </c>
      <c r="F2394" s="498">
        <v>13762.03</v>
      </c>
      <c r="G2394" s="486" t="s">
        <v>3773</v>
      </c>
      <c r="H2394" s="389" t="s">
        <v>736</v>
      </c>
      <c r="I2394" s="484" t="s">
        <v>686</v>
      </c>
      <c r="J2394" s="487" t="s">
        <v>687</v>
      </c>
      <c r="K2394" s="183"/>
      <c r="L2394" s="183"/>
      <c r="M2394" s="484" t="s">
        <v>719</v>
      </c>
      <c r="N2394" s="487">
        <v>37676</v>
      </c>
      <c r="O2394" s="487" t="s">
        <v>3496</v>
      </c>
      <c r="P2394" s="484" t="s">
        <v>1554</v>
      </c>
      <c r="Q2394" s="458"/>
      <c r="R2394" s="459"/>
    </row>
    <row r="2395" spans="1:18" s="439" customFormat="1" ht="24">
      <c r="A2395" s="502"/>
      <c r="B2395" s="503">
        <v>46198</v>
      </c>
      <c r="C2395" s="504">
        <v>46174</v>
      </c>
      <c r="D2395" s="495" t="s">
        <v>248</v>
      </c>
      <c r="E2395" s="506" t="s">
        <v>610</v>
      </c>
      <c r="F2395" s="512">
        <v>1761.38</v>
      </c>
      <c r="G2395" s="507"/>
      <c r="H2395" s="389" t="s">
        <v>736</v>
      </c>
      <c r="I2395" s="506" t="s">
        <v>686</v>
      </c>
      <c r="J2395" s="509" t="s">
        <v>687</v>
      </c>
      <c r="K2395" s="510"/>
      <c r="L2395" s="510"/>
      <c r="M2395" s="506" t="s">
        <v>719</v>
      </c>
      <c r="N2395" s="509">
        <v>37676</v>
      </c>
      <c r="O2395" s="509" t="s">
        <v>3496</v>
      </c>
      <c r="P2395" s="506" t="s">
        <v>1554</v>
      </c>
      <c r="Q2395" s="505"/>
      <c r="R2395" s="511"/>
    </row>
    <row r="2396" spans="1:18" ht="60">
      <c r="A2396" s="493"/>
      <c r="B2396" s="387">
        <v>46198</v>
      </c>
      <c r="C2396" s="388">
        <v>46174</v>
      </c>
      <c r="D2396" s="495" t="s">
        <v>248</v>
      </c>
      <c r="E2396" s="484" t="s">
        <v>1552</v>
      </c>
      <c r="F2396" s="498">
        <v>10500</v>
      </c>
      <c r="G2396" s="486" t="s">
        <v>3774</v>
      </c>
      <c r="H2396" s="389" t="s">
        <v>736</v>
      </c>
      <c r="I2396" s="484" t="s">
        <v>3463</v>
      </c>
      <c r="J2396" s="487" t="s">
        <v>3464</v>
      </c>
      <c r="K2396" s="183"/>
      <c r="L2396" s="183"/>
      <c r="M2396" s="484" t="s">
        <v>707</v>
      </c>
      <c r="N2396" s="487">
        <v>212</v>
      </c>
      <c r="O2396" s="487" t="s">
        <v>3496</v>
      </c>
      <c r="P2396" s="484" t="s">
        <v>1554</v>
      </c>
      <c r="Q2396" s="458"/>
      <c r="R2396" s="459"/>
    </row>
    <row r="2397" spans="1:18" ht="84">
      <c r="A2397" s="493"/>
      <c r="B2397" s="387">
        <v>46198</v>
      </c>
      <c r="C2397" s="388">
        <v>46174</v>
      </c>
      <c r="D2397" s="495" t="s">
        <v>248</v>
      </c>
      <c r="E2397" s="484" t="s">
        <v>598</v>
      </c>
      <c r="F2397" s="498">
        <v>3172</v>
      </c>
      <c r="G2397" s="486" t="s">
        <v>3775</v>
      </c>
      <c r="H2397" s="389" t="s">
        <v>736</v>
      </c>
      <c r="I2397" s="484" t="s">
        <v>3465</v>
      </c>
      <c r="J2397" s="487" t="s">
        <v>3466</v>
      </c>
      <c r="K2397" s="183"/>
      <c r="L2397" s="183"/>
      <c r="M2397" s="484" t="s">
        <v>707</v>
      </c>
      <c r="N2397" s="487">
        <v>20</v>
      </c>
      <c r="O2397" s="487" t="s">
        <v>3497</v>
      </c>
      <c r="P2397" s="484" t="s">
        <v>1554</v>
      </c>
      <c r="Q2397" s="458"/>
      <c r="R2397" s="459"/>
    </row>
    <row r="2398" spans="1:18" ht="48">
      <c r="A2398" s="493"/>
      <c r="B2398" s="387">
        <v>46198</v>
      </c>
      <c r="C2398" s="388">
        <v>46174</v>
      </c>
      <c r="D2398" s="495" t="s">
        <v>248</v>
      </c>
      <c r="E2398" s="484" t="s">
        <v>2254</v>
      </c>
      <c r="F2398" s="498">
        <v>4745.32</v>
      </c>
      <c r="G2398" s="486" t="s">
        <v>3776</v>
      </c>
      <c r="H2398" s="389" t="s">
        <v>737</v>
      </c>
      <c r="I2398" s="484" t="s">
        <v>2123</v>
      </c>
      <c r="J2398" s="487" t="s">
        <v>2124</v>
      </c>
      <c r="K2398" s="183"/>
      <c r="L2398" s="183"/>
      <c r="M2398" s="484" t="s">
        <v>707</v>
      </c>
      <c r="N2398" s="487">
        <v>71</v>
      </c>
      <c r="O2398" s="487" t="s">
        <v>3497</v>
      </c>
      <c r="P2398" s="484" t="s">
        <v>1554</v>
      </c>
      <c r="Q2398" s="458"/>
      <c r="R2398" s="459"/>
    </row>
    <row r="2399" spans="1:18" s="439" customFormat="1" ht="48">
      <c r="A2399" s="502"/>
      <c r="B2399" s="503">
        <v>46198</v>
      </c>
      <c r="C2399" s="504">
        <v>46174</v>
      </c>
      <c r="D2399" s="495" t="s">
        <v>248</v>
      </c>
      <c r="E2399" s="513" t="s">
        <v>78</v>
      </c>
      <c r="F2399" s="512">
        <v>386.48</v>
      </c>
      <c r="G2399" s="507"/>
      <c r="I2399" s="506"/>
      <c r="J2399" s="509"/>
      <c r="K2399" s="510"/>
      <c r="L2399" s="510"/>
      <c r="M2399" s="506"/>
      <c r="N2399" s="509"/>
      <c r="O2399" s="509"/>
      <c r="P2399" s="484" t="s">
        <v>1556</v>
      </c>
      <c r="Q2399" s="505"/>
      <c r="R2399" s="511"/>
    </row>
    <row r="2400" spans="1:18" ht="72">
      <c r="A2400" s="493"/>
      <c r="B2400" s="387">
        <v>46198</v>
      </c>
      <c r="C2400" s="388">
        <v>46174</v>
      </c>
      <c r="D2400" s="495" t="s">
        <v>248</v>
      </c>
      <c r="E2400" s="60" t="s">
        <v>455</v>
      </c>
      <c r="F2400" s="498">
        <v>3179.61</v>
      </c>
      <c r="G2400" s="486" t="s">
        <v>2863</v>
      </c>
      <c r="H2400" s="462" t="s">
        <v>736</v>
      </c>
      <c r="I2400" s="484" t="s">
        <v>2646</v>
      </c>
      <c r="J2400" s="487" t="s">
        <v>2647</v>
      </c>
      <c r="K2400" s="183"/>
      <c r="L2400" s="183"/>
      <c r="M2400" s="484" t="s">
        <v>708</v>
      </c>
      <c r="N2400" s="487">
        <v>26</v>
      </c>
      <c r="O2400" s="487" t="s">
        <v>3503</v>
      </c>
      <c r="P2400" s="484" t="s">
        <v>1556</v>
      </c>
      <c r="Q2400" s="458"/>
      <c r="R2400" s="459"/>
    </row>
    <row r="2401" spans="1:18" ht="36">
      <c r="A2401" s="493"/>
      <c r="B2401" s="387">
        <v>46198</v>
      </c>
      <c r="C2401" s="388">
        <v>46174</v>
      </c>
      <c r="D2401" s="495" t="s">
        <v>248</v>
      </c>
      <c r="E2401" s="484" t="s">
        <v>610</v>
      </c>
      <c r="F2401" s="498">
        <v>1397.66</v>
      </c>
      <c r="G2401" s="486" t="s">
        <v>3777</v>
      </c>
      <c r="H2401" s="389" t="s">
        <v>736</v>
      </c>
      <c r="I2401" s="484" t="s">
        <v>686</v>
      </c>
      <c r="J2401" s="487" t="s">
        <v>687</v>
      </c>
      <c r="K2401" s="183"/>
      <c r="L2401" s="183"/>
      <c r="M2401" s="484" t="s">
        <v>719</v>
      </c>
      <c r="N2401" s="487">
        <v>37693</v>
      </c>
      <c r="O2401" s="487" t="s">
        <v>3503</v>
      </c>
      <c r="P2401" s="484" t="s">
        <v>1554</v>
      </c>
      <c r="Q2401" s="458"/>
      <c r="R2401" s="459"/>
    </row>
    <row r="2402" spans="1:18" ht="48">
      <c r="A2402" s="493"/>
      <c r="B2402" s="387">
        <v>46198</v>
      </c>
      <c r="C2402" s="388">
        <v>46174</v>
      </c>
      <c r="D2402" s="495" t="s">
        <v>248</v>
      </c>
      <c r="E2402" s="484" t="s">
        <v>610</v>
      </c>
      <c r="F2402" s="498">
        <v>1237.93</v>
      </c>
      <c r="G2402" s="486" t="s">
        <v>3778</v>
      </c>
      <c r="H2402" s="389" t="s">
        <v>736</v>
      </c>
      <c r="I2402" s="484" t="s">
        <v>686</v>
      </c>
      <c r="J2402" s="487" t="s">
        <v>687</v>
      </c>
      <c r="K2402" s="183"/>
      <c r="L2402" s="183"/>
      <c r="M2402" s="484" t="s">
        <v>719</v>
      </c>
      <c r="N2402" s="487">
        <v>37696</v>
      </c>
      <c r="O2402" s="487" t="s">
        <v>3503</v>
      </c>
      <c r="P2402" s="484" t="s">
        <v>1554</v>
      </c>
      <c r="Q2402" s="458"/>
      <c r="R2402" s="459"/>
    </row>
    <row r="2403" spans="1:18" ht="60">
      <c r="A2403" s="493"/>
      <c r="B2403" s="387">
        <v>46198</v>
      </c>
      <c r="C2403" s="388">
        <v>46174</v>
      </c>
      <c r="D2403" s="495" t="s">
        <v>248</v>
      </c>
      <c r="E2403" s="484" t="s">
        <v>1208</v>
      </c>
      <c r="F2403" s="498">
        <v>178</v>
      </c>
      <c r="G2403" s="486" t="s">
        <v>3634</v>
      </c>
      <c r="H2403" s="462" t="s">
        <v>736</v>
      </c>
      <c r="I2403" s="484" t="s">
        <v>3403</v>
      </c>
      <c r="J2403" s="487" t="s">
        <v>3404</v>
      </c>
      <c r="K2403" s="183"/>
      <c r="L2403" s="183"/>
      <c r="M2403" s="484" t="s">
        <v>707</v>
      </c>
      <c r="N2403" s="487">
        <v>47</v>
      </c>
      <c r="O2403" s="487" t="s">
        <v>3296</v>
      </c>
      <c r="P2403" s="484" t="s">
        <v>1554</v>
      </c>
      <c r="Q2403" s="458"/>
      <c r="R2403" s="459"/>
    </row>
    <row r="2404" spans="1:18" ht="48">
      <c r="A2404" s="493"/>
      <c r="B2404" s="387">
        <v>46198</v>
      </c>
      <c r="C2404" s="388">
        <v>46174</v>
      </c>
      <c r="D2404" s="495" t="s">
        <v>248</v>
      </c>
      <c r="E2404" s="484" t="s">
        <v>1550</v>
      </c>
      <c r="F2404" s="498">
        <v>1409.1</v>
      </c>
      <c r="G2404" s="486" t="s">
        <v>3779</v>
      </c>
      <c r="H2404" s="389" t="s">
        <v>736</v>
      </c>
      <c r="I2404" s="484" t="s">
        <v>686</v>
      </c>
      <c r="J2404" s="487" t="s">
        <v>687</v>
      </c>
      <c r="K2404" s="183"/>
      <c r="L2404" s="183"/>
      <c r="M2404" s="484" t="s">
        <v>719</v>
      </c>
      <c r="N2404" s="487">
        <v>6690</v>
      </c>
      <c r="O2404" s="487" t="s">
        <v>3497</v>
      </c>
      <c r="P2404" s="484" t="s">
        <v>1554</v>
      </c>
      <c r="Q2404" s="458"/>
      <c r="R2404" s="459"/>
    </row>
    <row r="2405" spans="1:18" ht="36">
      <c r="A2405" s="493"/>
      <c r="B2405" s="387">
        <v>46198</v>
      </c>
      <c r="C2405" s="388">
        <v>46174</v>
      </c>
      <c r="D2405" s="495" t="s">
        <v>248</v>
      </c>
      <c r="E2405" s="484" t="s">
        <v>606</v>
      </c>
      <c r="F2405" s="498">
        <v>4841.43</v>
      </c>
      <c r="G2405" s="486" t="s">
        <v>3780</v>
      </c>
      <c r="H2405" s="389" t="s">
        <v>737</v>
      </c>
      <c r="I2405" s="484" t="s">
        <v>1119</v>
      </c>
      <c r="J2405" s="487" t="s">
        <v>1120</v>
      </c>
      <c r="K2405" s="183"/>
      <c r="L2405" s="183"/>
      <c r="M2405" s="484" t="s">
        <v>719</v>
      </c>
      <c r="N2405" s="487">
        <v>188</v>
      </c>
      <c r="O2405" s="487" t="s">
        <v>3296</v>
      </c>
      <c r="P2405" s="484" t="s">
        <v>1554</v>
      </c>
      <c r="Q2405" s="458"/>
      <c r="R2405" s="459"/>
    </row>
    <row r="2406" spans="1:18" s="439" customFormat="1" ht="48">
      <c r="A2406" s="502"/>
      <c r="B2406" s="503">
        <v>46198</v>
      </c>
      <c r="C2406" s="504">
        <v>46143</v>
      </c>
      <c r="D2406" s="495" t="s">
        <v>248</v>
      </c>
      <c r="E2406" s="513" t="s">
        <v>78</v>
      </c>
      <c r="F2406" s="512">
        <v>3864.8</v>
      </c>
      <c r="G2406" s="507" t="s">
        <v>2852</v>
      </c>
      <c r="H2406" s="439" t="s">
        <v>736</v>
      </c>
      <c r="I2406" s="506"/>
      <c r="J2406" s="509"/>
      <c r="K2406" s="510"/>
      <c r="L2406" s="510"/>
      <c r="M2406" s="506"/>
      <c r="N2406" s="509"/>
      <c r="O2406" s="509"/>
      <c r="P2406" s="484" t="s">
        <v>1554</v>
      </c>
      <c r="Q2406" s="505"/>
      <c r="R2406" s="511"/>
    </row>
    <row r="2407" spans="1:18" ht="24">
      <c r="A2407" s="493"/>
      <c r="B2407" s="387">
        <v>46198</v>
      </c>
      <c r="C2407" s="388">
        <v>46174</v>
      </c>
      <c r="D2407" s="495" t="s">
        <v>248</v>
      </c>
      <c r="E2407" s="484" t="s">
        <v>1211</v>
      </c>
      <c r="F2407" s="498">
        <v>8075</v>
      </c>
      <c r="G2407" s="486" t="s">
        <v>3781</v>
      </c>
      <c r="H2407" s="389" t="s">
        <v>278</v>
      </c>
      <c r="I2407" s="484" t="s">
        <v>1165</v>
      </c>
      <c r="J2407" s="487" t="s">
        <v>1166</v>
      </c>
      <c r="K2407" s="183"/>
      <c r="L2407" s="183"/>
      <c r="M2407" s="484" t="s">
        <v>707</v>
      </c>
      <c r="N2407" s="487">
        <v>28</v>
      </c>
      <c r="O2407" s="487" t="s">
        <v>3503</v>
      </c>
      <c r="P2407" s="484" t="s">
        <v>1554</v>
      </c>
      <c r="Q2407" s="458"/>
      <c r="R2407" s="459"/>
    </row>
    <row r="2408" spans="1:18" ht="48">
      <c r="A2408" s="493"/>
      <c r="B2408" s="387">
        <v>46198</v>
      </c>
      <c r="C2408" s="388">
        <v>46174</v>
      </c>
      <c r="D2408" s="495" t="s">
        <v>248</v>
      </c>
      <c r="E2408" s="60" t="s">
        <v>171</v>
      </c>
      <c r="F2408" s="498">
        <v>1692.05</v>
      </c>
      <c r="G2408" s="486" t="s">
        <v>1655</v>
      </c>
      <c r="H2408" s="389" t="s">
        <v>278</v>
      </c>
      <c r="I2408" s="484" t="s">
        <v>660</v>
      </c>
      <c r="J2408" s="487" t="s">
        <v>661</v>
      </c>
      <c r="K2408" s="183"/>
      <c r="L2408" s="183"/>
      <c r="M2408" s="484" t="s">
        <v>707</v>
      </c>
      <c r="N2408" s="487">
        <v>53</v>
      </c>
      <c r="O2408" s="487" t="s">
        <v>3296</v>
      </c>
      <c r="P2408" s="484" t="s">
        <v>1554</v>
      </c>
      <c r="Q2408" s="458"/>
      <c r="R2408" s="459"/>
    </row>
    <row r="2409" spans="1:18" s="439" customFormat="1" ht="24">
      <c r="A2409" s="502"/>
      <c r="B2409" s="503">
        <v>46198</v>
      </c>
      <c r="C2409" s="504">
        <v>46174</v>
      </c>
      <c r="D2409" s="495" t="s">
        <v>248</v>
      </c>
      <c r="E2409" s="513" t="s">
        <v>1552</v>
      </c>
      <c r="F2409" s="512">
        <v>1867.29</v>
      </c>
      <c r="G2409" s="507"/>
      <c r="H2409" s="389" t="s">
        <v>736</v>
      </c>
      <c r="I2409" s="506"/>
      <c r="J2409" s="509"/>
      <c r="K2409" s="510"/>
      <c r="L2409" s="510"/>
      <c r="M2409" s="506"/>
      <c r="N2409" s="509"/>
      <c r="O2409" s="509"/>
      <c r="P2409" s="484" t="s">
        <v>1554</v>
      </c>
      <c r="Q2409" s="505"/>
      <c r="R2409" s="511"/>
    </row>
    <row r="2410" spans="1:18" s="439" customFormat="1" ht="24">
      <c r="A2410" s="502"/>
      <c r="B2410" s="503">
        <v>46198</v>
      </c>
      <c r="C2410" s="504">
        <v>46174</v>
      </c>
      <c r="D2410" s="495" t="s">
        <v>248</v>
      </c>
      <c r="E2410" s="513" t="s">
        <v>1552</v>
      </c>
      <c r="F2410" s="512">
        <v>53351.25</v>
      </c>
      <c r="G2410" s="507"/>
      <c r="H2410" s="389" t="s">
        <v>736</v>
      </c>
      <c r="I2410" s="506"/>
      <c r="J2410" s="509"/>
      <c r="K2410" s="510"/>
      <c r="L2410" s="510"/>
      <c r="M2410" s="506"/>
      <c r="N2410" s="509"/>
      <c r="O2410" s="509"/>
      <c r="P2410" s="484" t="s">
        <v>1554</v>
      </c>
      <c r="Q2410" s="505"/>
      <c r="R2410" s="511"/>
    </row>
    <row r="2411" spans="1:18" s="439" customFormat="1" ht="24">
      <c r="A2411" s="502"/>
      <c r="B2411" s="503">
        <v>46198</v>
      </c>
      <c r="C2411" s="504">
        <v>46174</v>
      </c>
      <c r="D2411" s="495" t="s">
        <v>248</v>
      </c>
      <c r="E2411" s="513" t="s">
        <v>1552</v>
      </c>
      <c r="F2411" s="512">
        <v>550</v>
      </c>
      <c r="G2411" s="507"/>
      <c r="H2411" s="389" t="s">
        <v>736</v>
      </c>
      <c r="I2411" s="506"/>
      <c r="J2411" s="509"/>
      <c r="K2411" s="510"/>
      <c r="L2411" s="510"/>
      <c r="M2411" s="506"/>
      <c r="N2411" s="509"/>
      <c r="O2411" s="509"/>
      <c r="P2411" s="484" t="s">
        <v>1554</v>
      </c>
      <c r="Q2411" s="505"/>
      <c r="R2411" s="511"/>
    </row>
    <row r="2412" spans="1:18" s="439" customFormat="1" ht="24">
      <c r="A2412" s="502"/>
      <c r="B2412" s="503">
        <v>46198</v>
      </c>
      <c r="C2412" s="504">
        <v>46174</v>
      </c>
      <c r="D2412" s="495" t="s">
        <v>248</v>
      </c>
      <c r="E2412" s="513" t="s">
        <v>1552</v>
      </c>
      <c r="F2412" s="517">
        <v>1600.54</v>
      </c>
      <c r="G2412" s="507"/>
      <c r="H2412" s="389" t="s">
        <v>736</v>
      </c>
      <c r="I2412" s="506"/>
      <c r="J2412" s="509"/>
      <c r="K2412" s="510"/>
      <c r="L2412" s="510"/>
      <c r="M2412" s="506"/>
      <c r="N2412" s="509"/>
      <c r="O2412" s="509"/>
      <c r="P2412" s="484" t="s">
        <v>1554</v>
      </c>
      <c r="Q2412" s="505"/>
      <c r="R2412" s="511"/>
    </row>
    <row r="2413" spans="1:18" s="439" customFormat="1" ht="24">
      <c r="A2413" s="502"/>
      <c r="B2413" s="503">
        <v>46198</v>
      </c>
      <c r="C2413" s="504">
        <v>46174</v>
      </c>
      <c r="D2413" s="495" t="s">
        <v>248</v>
      </c>
      <c r="E2413" s="513" t="s">
        <v>1552</v>
      </c>
      <c r="F2413" s="517">
        <v>4602.0200000000004</v>
      </c>
      <c r="G2413" s="507"/>
      <c r="H2413" s="389" t="s">
        <v>736</v>
      </c>
      <c r="I2413" s="506"/>
      <c r="J2413" s="509"/>
      <c r="K2413" s="510"/>
      <c r="L2413" s="510"/>
      <c r="M2413" s="506"/>
      <c r="N2413" s="509"/>
      <c r="O2413" s="509"/>
      <c r="P2413" s="484" t="s">
        <v>1554</v>
      </c>
      <c r="Q2413" s="505"/>
      <c r="R2413" s="511"/>
    </row>
    <row r="2414" spans="1:18" s="439" customFormat="1" ht="24">
      <c r="A2414" s="502"/>
      <c r="B2414" s="503">
        <v>46198</v>
      </c>
      <c r="C2414" s="504">
        <v>46174</v>
      </c>
      <c r="D2414" s="495" t="s">
        <v>248</v>
      </c>
      <c r="E2414" s="513" t="s">
        <v>1552</v>
      </c>
      <c r="F2414" s="517">
        <v>999.12</v>
      </c>
      <c r="G2414" s="507"/>
      <c r="H2414" s="389" t="s">
        <v>736</v>
      </c>
      <c r="I2414" s="506"/>
      <c r="J2414" s="509"/>
      <c r="K2414" s="510"/>
      <c r="L2414" s="510"/>
      <c r="M2414" s="506"/>
      <c r="N2414" s="509"/>
      <c r="O2414" s="509"/>
      <c r="P2414" s="484" t="s">
        <v>1554</v>
      </c>
      <c r="Q2414" s="505"/>
      <c r="R2414" s="511"/>
    </row>
    <row r="2415" spans="1:18" s="439" customFormat="1" ht="24">
      <c r="A2415" s="502"/>
      <c r="B2415" s="503">
        <v>46198</v>
      </c>
      <c r="C2415" s="504">
        <v>46174</v>
      </c>
      <c r="D2415" s="495" t="s">
        <v>248</v>
      </c>
      <c r="E2415" s="513" t="s">
        <v>1552</v>
      </c>
      <c r="F2415" s="512">
        <v>9414.93</v>
      </c>
      <c r="G2415" s="507"/>
      <c r="H2415" s="389" t="s">
        <v>736</v>
      </c>
      <c r="I2415" s="506"/>
      <c r="J2415" s="509"/>
      <c r="K2415" s="510"/>
      <c r="L2415" s="510"/>
      <c r="M2415" s="506"/>
      <c r="N2415" s="509"/>
      <c r="O2415" s="509"/>
      <c r="P2415" s="484" t="s">
        <v>1554</v>
      </c>
      <c r="Q2415" s="505"/>
      <c r="R2415" s="511"/>
    </row>
    <row r="2416" spans="1:18" ht="84">
      <c r="A2416" s="493"/>
      <c r="B2416" s="387">
        <v>46198</v>
      </c>
      <c r="C2416" s="388">
        <v>46174</v>
      </c>
      <c r="D2416" s="495" t="s">
        <v>248</v>
      </c>
      <c r="E2416" s="484" t="s">
        <v>598</v>
      </c>
      <c r="F2416" s="498">
        <v>2800</v>
      </c>
      <c r="G2416" s="486" t="s">
        <v>3782</v>
      </c>
      <c r="H2416" s="389" t="s">
        <v>736</v>
      </c>
      <c r="I2416" s="484" t="s">
        <v>1470</v>
      </c>
      <c r="J2416" s="487" t="s">
        <v>1471</v>
      </c>
      <c r="K2416" s="183"/>
      <c r="L2416" s="183"/>
      <c r="M2416" s="484" t="s">
        <v>719</v>
      </c>
      <c r="N2416" s="487">
        <v>70</v>
      </c>
      <c r="O2416" s="487" t="s">
        <v>3294</v>
      </c>
      <c r="P2416" s="484" t="s">
        <v>1554</v>
      </c>
      <c r="Q2416" s="458"/>
      <c r="R2416" s="459"/>
    </row>
    <row r="2417" spans="1:18" ht="36">
      <c r="A2417" s="493"/>
      <c r="B2417" s="387">
        <v>46198</v>
      </c>
      <c r="C2417" s="388">
        <v>46174</v>
      </c>
      <c r="D2417" s="39" t="s">
        <v>353</v>
      </c>
      <c r="E2417" s="39" t="s">
        <v>153</v>
      </c>
      <c r="F2417" s="498">
        <v>12827.93</v>
      </c>
      <c r="G2417" s="486" t="s">
        <v>3783</v>
      </c>
      <c r="H2417" s="389" t="s">
        <v>280</v>
      </c>
      <c r="I2417" s="484" t="s">
        <v>3381</v>
      </c>
      <c r="J2417" s="487" t="s">
        <v>683</v>
      </c>
      <c r="K2417" s="183"/>
      <c r="L2417" s="183"/>
      <c r="M2417" s="484" t="s">
        <v>726</v>
      </c>
      <c r="N2417" s="487">
        <v>18062026</v>
      </c>
      <c r="O2417" s="487" t="s">
        <v>3296</v>
      </c>
      <c r="P2417" s="484" t="s">
        <v>1553</v>
      </c>
      <c r="Q2417" s="458"/>
      <c r="R2417" s="459"/>
    </row>
    <row r="2418" spans="1:18" ht="36">
      <c r="A2418" s="493"/>
      <c r="B2418" s="387">
        <v>46198</v>
      </c>
      <c r="C2418" s="388">
        <v>46174</v>
      </c>
      <c r="D2418" s="39" t="s">
        <v>353</v>
      </c>
      <c r="E2418" s="39" t="s">
        <v>153</v>
      </c>
      <c r="F2418" s="498">
        <v>14070.65</v>
      </c>
      <c r="G2418" s="486" t="s">
        <v>3784</v>
      </c>
      <c r="H2418" s="389" t="s">
        <v>280</v>
      </c>
      <c r="I2418" s="484" t="s">
        <v>3381</v>
      </c>
      <c r="J2418" s="487" t="s">
        <v>683</v>
      </c>
      <c r="K2418" s="183"/>
      <c r="L2418" s="183"/>
      <c r="M2418" s="484" t="s">
        <v>726</v>
      </c>
      <c r="N2418" s="487">
        <v>19062026</v>
      </c>
      <c r="O2418" s="487" t="s">
        <v>3501</v>
      </c>
      <c r="P2418" s="484" t="s">
        <v>1553</v>
      </c>
      <c r="Q2418" s="458"/>
      <c r="R2418" s="459"/>
    </row>
    <row r="2419" spans="1:18" ht="48">
      <c r="A2419" s="493"/>
      <c r="B2419" s="387">
        <v>46198</v>
      </c>
      <c r="C2419" s="388">
        <v>46174</v>
      </c>
      <c r="D2419" s="495" t="s">
        <v>248</v>
      </c>
      <c r="E2419" s="484" t="s">
        <v>1218</v>
      </c>
      <c r="F2419" s="498">
        <v>974.22</v>
      </c>
      <c r="G2419" s="486" t="s">
        <v>3769</v>
      </c>
      <c r="H2419" s="453" t="s">
        <v>736</v>
      </c>
      <c r="I2419" s="484" t="s">
        <v>1135</v>
      </c>
      <c r="J2419" s="487" t="s">
        <v>1136</v>
      </c>
      <c r="K2419" s="183"/>
      <c r="L2419" s="183"/>
      <c r="M2419" s="484" t="s">
        <v>704</v>
      </c>
      <c r="N2419" s="487">
        <v>258101</v>
      </c>
      <c r="O2419" s="487" t="s">
        <v>3504</v>
      </c>
      <c r="P2419" s="484" t="s">
        <v>1554</v>
      </c>
      <c r="Q2419" s="458"/>
      <c r="R2419" s="459"/>
    </row>
    <row r="2420" spans="1:18" ht="96">
      <c r="A2420" s="493"/>
      <c r="B2420" s="387">
        <v>46198</v>
      </c>
      <c r="C2420" s="388">
        <v>46174</v>
      </c>
      <c r="D2420" s="495" t="s">
        <v>248</v>
      </c>
      <c r="E2420" s="484" t="s">
        <v>758</v>
      </c>
      <c r="F2420" s="498">
        <v>80377.240000000005</v>
      </c>
      <c r="G2420" s="486" t="s">
        <v>3785</v>
      </c>
      <c r="H2420" s="392" t="s">
        <v>738</v>
      </c>
      <c r="I2420" s="484" t="s">
        <v>700</v>
      </c>
      <c r="J2420" s="487" t="s">
        <v>701</v>
      </c>
      <c r="K2420" s="183"/>
      <c r="L2420" s="183"/>
      <c r="M2420" s="484" t="s">
        <v>707</v>
      </c>
      <c r="N2420" s="487">
        <v>395</v>
      </c>
      <c r="O2420" s="487" t="s">
        <v>3504</v>
      </c>
      <c r="P2420" s="484" t="s">
        <v>1554</v>
      </c>
      <c r="Q2420" s="458"/>
      <c r="R2420" s="459"/>
    </row>
    <row r="2421" spans="1:18" ht="60">
      <c r="A2421" s="493"/>
      <c r="B2421" s="387">
        <v>46198</v>
      </c>
      <c r="C2421" s="388">
        <v>46174</v>
      </c>
      <c r="D2421" s="495" t="s">
        <v>248</v>
      </c>
      <c r="E2421" s="60" t="s">
        <v>78</v>
      </c>
      <c r="F2421" s="498">
        <v>980.91</v>
      </c>
      <c r="G2421" s="486" t="s">
        <v>2284</v>
      </c>
      <c r="H2421" s="453" t="s">
        <v>736</v>
      </c>
      <c r="I2421" s="484" t="s">
        <v>2137</v>
      </c>
      <c r="J2421" s="487" t="s">
        <v>2138</v>
      </c>
      <c r="K2421" s="183"/>
      <c r="L2421" s="183"/>
      <c r="M2421" s="484" t="s">
        <v>708</v>
      </c>
      <c r="N2421" s="487">
        <v>22</v>
      </c>
      <c r="O2421" s="487" t="s">
        <v>3497</v>
      </c>
      <c r="P2421" s="484" t="s">
        <v>1556</v>
      </c>
      <c r="Q2421" s="458"/>
      <c r="R2421" s="459"/>
    </row>
    <row r="2422" spans="1:18" ht="48">
      <c r="A2422" s="493"/>
      <c r="B2422" s="387">
        <v>46198</v>
      </c>
      <c r="C2422" s="388">
        <v>46174</v>
      </c>
      <c r="D2422" s="495" t="s">
        <v>248</v>
      </c>
      <c r="E2422" s="484" t="s">
        <v>610</v>
      </c>
      <c r="F2422" s="485">
        <v>12.5</v>
      </c>
      <c r="G2422" s="486" t="s">
        <v>3763</v>
      </c>
      <c r="H2422" s="389" t="s">
        <v>278</v>
      </c>
      <c r="I2422" s="484" t="s">
        <v>881</v>
      </c>
      <c r="J2422" s="487" t="s">
        <v>773</v>
      </c>
      <c r="K2422" s="183"/>
      <c r="L2422" s="183"/>
      <c r="M2422" s="484" t="s">
        <v>710</v>
      </c>
      <c r="N2422" s="487">
        <v>76688</v>
      </c>
      <c r="O2422" s="487" t="s">
        <v>3505</v>
      </c>
      <c r="P2422" s="484" t="s">
        <v>735</v>
      </c>
      <c r="Q2422" s="458"/>
      <c r="R2422" s="459"/>
    </row>
    <row r="2423" spans="1:18" ht="24">
      <c r="A2423" s="493"/>
      <c r="B2423" s="387">
        <v>46198</v>
      </c>
      <c r="C2423" s="388">
        <v>46174</v>
      </c>
      <c r="D2423" s="495" t="s">
        <v>248</v>
      </c>
      <c r="E2423" s="484" t="s">
        <v>607</v>
      </c>
      <c r="F2423" s="485">
        <v>156.07</v>
      </c>
      <c r="G2423" s="560" t="s">
        <v>3844</v>
      </c>
      <c r="H2423" s="453" t="s">
        <v>736</v>
      </c>
      <c r="I2423" s="484" t="s">
        <v>881</v>
      </c>
      <c r="J2423" s="487" t="s">
        <v>773</v>
      </c>
      <c r="K2423" s="183"/>
      <c r="L2423" s="183"/>
      <c r="M2423" s="484" t="s">
        <v>710</v>
      </c>
      <c r="N2423" s="487">
        <v>219921</v>
      </c>
      <c r="O2423" s="487" t="s">
        <v>3505</v>
      </c>
      <c r="P2423" s="484" t="s">
        <v>735</v>
      </c>
      <c r="Q2423" s="458"/>
      <c r="R2423" s="459"/>
    </row>
    <row r="2424" spans="1:18" ht="60" customHeight="1">
      <c r="A2424" s="493"/>
      <c r="B2424" s="387">
        <v>46198</v>
      </c>
      <c r="C2424" s="388">
        <v>46174</v>
      </c>
      <c r="D2424" s="495" t="s">
        <v>248</v>
      </c>
      <c r="E2424" s="60" t="s">
        <v>78</v>
      </c>
      <c r="F2424" s="498">
        <v>3596.67</v>
      </c>
      <c r="G2424" s="559"/>
      <c r="H2424" s="462" t="s">
        <v>736</v>
      </c>
      <c r="I2424" s="484" t="s">
        <v>2137</v>
      </c>
      <c r="J2424" s="487" t="s">
        <v>2138</v>
      </c>
      <c r="K2424" s="183"/>
      <c r="L2424" s="183"/>
      <c r="M2424" s="484" t="s">
        <v>707</v>
      </c>
      <c r="N2424" s="487">
        <v>21</v>
      </c>
      <c r="O2424" s="487" t="s">
        <v>3497</v>
      </c>
      <c r="P2424" s="484" t="s">
        <v>1554</v>
      </c>
      <c r="Q2424" s="458"/>
      <c r="R2424" s="459"/>
    </row>
    <row r="2425" spans="1:18" s="439" customFormat="1" ht="48">
      <c r="A2425" s="518">
        <f t="shared" ref="A2425:A2429" si="99">IF(B2425="","",ROW()-ROW($A$3))</f>
        <v>2422</v>
      </c>
      <c r="B2425" s="503">
        <v>46198</v>
      </c>
      <c r="C2425" s="504">
        <v>46204</v>
      </c>
      <c r="D2425" s="519" t="s">
        <v>166</v>
      </c>
      <c r="E2425" s="506" t="s">
        <v>584</v>
      </c>
      <c r="F2425" s="520">
        <v>1920.47</v>
      </c>
      <c r="G2425" s="507" t="s">
        <v>3840</v>
      </c>
      <c r="H2425" s="389" t="s">
        <v>166</v>
      </c>
      <c r="I2425" s="506" t="s">
        <v>618</v>
      </c>
      <c r="J2425" s="509" t="s">
        <v>619</v>
      </c>
      <c r="K2425" s="521" t="str">
        <f t="shared" ref="K2425:K2429" si="100">IF(J2425="","",IF(LEN(J2425)&gt;14,IF(ISBLANK(J2425),"",J2425),REPLACE(REPLACE(J2425,1,3,"XXX"),13,2,"XX")))</f>
        <v>XXX985050001XX</v>
      </c>
      <c r="L2425" s="522"/>
      <c r="M2425" s="506" t="s">
        <v>706</v>
      </c>
      <c r="N2425" s="509">
        <v>2057887477</v>
      </c>
      <c r="O2425" s="509" t="s">
        <v>2543</v>
      </c>
      <c r="P2425" s="521" t="s">
        <v>572</v>
      </c>
    </row>
    <row r="2426" spans="1:18" s="439" customFormat="1" ht="36">
      <c r="A2426" s="518">
        <f t="shared" si="99"/>
        <v>2423</v>
      </c>
      <c r="B2426" s="503">
        <v>46198</v>
      </c>
      <c r="C2426" s="504">
        <v>46204</v>
      </c>
      <c r="D2426" s="519" t="s">
        <v>166</v>
      </c>
      <c r="E2426" s="506" t="s">
        <v>586</v>
      </c>
      <c r="F2426" s="523">
        <v>53960</v>
      </c>
      <c r="G2426" s="507" t="s">
        <v>3839</v>
      </c>
      <c r="H2426" s="389" t="s">
        <v>166</v>
      </c>
      <c r="I2426" s="506" t="s">
        <v>620</v>
      </c>
      <c r="J2426" s="509" t="s">
        <v>621</v>
      </c>
      <c r="K2426" s="521" t="str">
        <f t="shared" si="100"/>
        <v>XXX408760001XX</v>
      </c>
      <c r="L2426" s="522"/>
      <c r="M2426" s="506" t="s">
        <v>706</v>
      </c>
      <c r="N2426" s="509">
        <v>2057887478</v>
      </c>
      <c r="O2426" s="509" t="s">
        <v>2543</v>
      </c>
      <c r="P2426" s="521" t="s">
        <v>572</v>
      </c>
    </row>
    <row r="2427" spans="1:18" s="439" customFormat="1" ht="36">
      <c r="A2427" s="518">
        <f t="shared" si="99"/>
        <v>2424</v>
      </c>
      <c r="B2427" s="503">
        <v>46198</v>
      </c>
      <c r="C2427" s="504">
        <v>46204</v>
      </c>
      <c r="D2427" s="519" t="s">
        <v>166</v>
      </c>
      <c r="E2427" s="506" t="s">
        <v>586</v>
      </c>
      <c r="F2427" s="520">
        <v>77550.03</v>
      </c>
      <c r="G2427" s="507" t="s">
        <v>2901</v>
      </c>
      <c r="H2427" s="389" t="s">
        <v>166</v>
      </c>
      <c r="I2427" s="506" t="s">
        <v>620</v>
      </c>
      <c r="J2427" s="509" t="s">
        <v>621</v>
      </c>
      <c r="K2427" s="521" t="str">
        <f t="shared" si="100"/>
        <v>XXX408760001XX</v>
      </c>
      <c r="L2427" s="522"/>
      <c r="M2427" s="506" t="s">
        <v>706</v>
      </c>
      <c r="N2427" s="509">
        <v>2057887479</v>
      </c>
      <c r="O2427" s="509" t="s">
        <v>2543</v>
      </c>
      <c r="P2427" s="521" t="s">
        <v>572</v>
      </c>
    </row>
    <row r="2428" spans="1:18" s="439" customFormat="1" ht="36">
      <c r="A2428" s="518">
        <f t="shared" si="99"/>
        <v>2425</v>
      </c>
      <c r="B2428" s="503">
        <v>46198</v>
      </c>
      <c r="C2428" s="504">
        <v>46204</v>
      </c>
      <c r="D2428" s="519" t="s">
        <v>166</v>
      </c>
      <c r="E2428" s="506" t="s">
        <v>69</v>
      </c>
      <c r="F2428" s="523">
        <v>3450</v>
      </c>
      <c r="G2428" s="507" t="s">
        <v>3838</v>
      </c>
      <c r="H2428" s="389" t="s">
        <v>166</v>
      </c>
      <c r="I2428" s="506" t="s">
        <v>620</v>
      </c>
      <c r="J2428" s="509" t="s">
        <v>621</v>
      </c>
      <c r="K2428" s="521" t="str">
        <f t="shared" si="100"/>
        <v>XXX408760001XX</v>
      </c>
      <c r="L2428" s="522"/>
      <c r="M2428" s="506" t="s">
        <v>706</v>
      </c>
      <c r="N2428" s="509">
        <v>2057887480</v>
      </c>
      <c r="O2428" s="509" t="s">
        <v>2543</v>
      </c>
      <c r="P2428" s="521" t="s">
        <v>572</v>
      </c>
    </row>
    <row r="2429" spans="1:18" s="439" customFormat="1" ht="48">
      <c r="A2429" s="518">
        <f t="shared" si="99"/>
        <v>2426</v>
      </c>
      <c r="B2429" s="503">
        <v>46198</v>
      </c>
      <c r="C2429" s="504">
        <v>46204</v>
      </c>
      <c r="D2429" s="519" t="s">
        <v>166</v>
      </c>
      <c r="E2429" s="506" t="s">
        <v>584</v>
      </c>
      <c r="F2429" s="523">
        <v>5569.21</v>
      </c>
      <c r="G2429" s="507" t="s">
        <v>3841</v>
      </c>
      <c r="H2429" s="389" t="s">
        <v>166</v>
      </c>
      <c r="I2429" s="506" t="s">
        <v>622</v>
      </c>
      <c r="J2429" s="509" t="s">
        <v>623</v>
      </c>
      <c r="K2429" s="521" t="str">
        <f t="shared" si="100"/>
        <v>XXX267150001XX</v>
      </c>
      <c r="L2429" s="522"/>
      <c r="M2429" s="506" t="s">
        <v>706</v>
      </c>
      <c r="N2429" s="509">
        <v>2057887481</v>
      </c>
      <c r="O2429" s="509" t="s">
        <v>2543</v>
      </c>
      <c r="P2429" s="521" t="s">
        <v>572</v>
      </c>
    </row>
    <row r="2430" spans="1:18" ht="48">
      <c r="A2430" s="493"/>
      <c r="B2430" s="387">
        <v>46198</v>
      </c>
      <c r="C2430" s="388">
        <v>46174</v>
      </c>
      <c r="D2430" s="39" t="s">
        <v>353</v>
      </c>
      <c r="E2430" s="484" t="s">
        <v>587</v>
      </c>
      <c r="F2430" s="497">
        <v>-100</v>
      </c>
      <c r="G2430" s="486" t="s">
        <v>3786</v>
      </c>
      <c r="H2430" s="389" t="s">
        <v>280</v>
      </c>
      <c r="I2430" s="484" t="s">
        <v>3423</v>
      </c>
      <c r="J2430" s="487" t="s">
        <v>770</v>
      </c>
      <c r="K2430" s="183"/>
      <c r="L2430" s="183"/>
      <c r="M2430" s="484" t="s">
        <v>708</v>
      </c>
      <c r="N2430" s="487">
        <v>62026</v>
      </c>
      <c r="O2430" s="487" t="s">
        <v>3505</v>
      </c>
      <c r="P2430" s="484" t="s">
        <v>1553</v>
      </c>
      <c r="Q2430" s="458"/>
      <c r="R2430" s="459"/>
    </row>
    <row r="2431" spans="1:18" ht="48">
      <c r="A2431" s="493"/>
      <c r="B2431" s="387">
        <v>46198</v>
      </c>
      <c r="C2431" s="388">
        <v>46174</v>
      </c>
      <c r="D2431" s="39" t="s">
        <v>353</v>
      </c>
      <c r="E2431" s="484" t="s">
        <v>587</v>
      </c>
      <c r="F2431" s="497">
        <v>-100</v>
      </c>
      <c r="G2431" s="486" t="s">
        <v>3787</v>
      </c>
      <c r="H2431" s="389" t="s">
        <v>280</v>
      </c>
      <c r="I2431" s="484" t="s">
        <v>3423</v>
      </c>
      <c r="J2431" s="487" t="s">
        <v>770</v>
      </c>
      <c r="K2431" s="183"/>
      <c r="L2431" s="183"/>
      <c r="M2431" s="484" t="s">
        <v>708</v>
      </c>
      <c r="N2431" s="487">
        <v>62026</v>
      </c>
      <c r="O2431" s="487" t="s">
        <v>3505</v>
      </c>
      <c r="P2431" s="484" t="s">
        <v>1553</v>
      </c>
      <c r="Q2431" s="458"/>
      <c r="R2431" s="459"/>
    </row>
    <row r="2432" spans="1:18" ht="48">
      <c r="A2432" s="493"/>
      <c r="B2432" s="387">
        <v>46198</v>
      </c>
      <c r="C2432" s="388">
        <v>46174</v>
      </c>
      <c r="D2432" s="39" t="s">
        <v>353</v>
      </c>
      <c r="E2432" s="484" t="s">
        <v>587</v>
      </c>
      <c r="F2432" s="497">
        <v>-100</v>
      </c>
      <c r="G2432" s="486" t="s">
        <v>3788</v>
      </c>
      <c r="H2432" s="389" t="s">
        <v>280</v>
      </c>
      <c r="I2432" s="484" t="s">
        <v>3423</v>
      </c>
      <c r="J2432" s="487" t="s">
        <v>770</v>
      </c>
      <c r="K2432" s="183"/>
      <c r="L2432" s="183"/>
      <c r="M2432" s="484" t="s">
        <v>708</v>
      </c>
      <c r="N2432" s="487">
        <v>62026</v>
      </c>
      <c r="O2432" s="487" t="s">
        <v>3505</v>
      </c>
      <c r="P2432" s="484" t="s">
        <v>1553</v>
      </c>
      <c r="Q2432" s="458"/>
      <c r="R2432" s="459"/>
    </row>
    <row r="2433" spans="1:18" ht="48">
      <c r="A2433" s="493"/>
      <c r="B2433" s="387">
        <v>46198</v>
      </c>
      <c r="C2433" s="388">
        <v>46174</v>
      </c>
      <c r="D2433" s="39" t="s">
        <v>353</v>
      </c>
      <c r="E2433" s="484" t="s">
        <v>587</v>
      </c>
      <c r="F2433" s="497">
        <v>-100</v>
      </c>
      <c r="G2433" s="486" t="s">
        <v>3789</v>
      </c>
      <c r="H2433" s="389" t="s">
        <v>280</v>
      </c>
      <c r="I2433" s="484" t="s">
        <v>3423</v>
      </c>
      <c r="J2433" s="487" t="s">
        <v>770</v>
      </c>
      <c r="K2433" s="183"/>
      <c r="L2433" s="183"/>
      <c r="M2433" s="484" t="s">
        <v>708</v>
      </c>
      <c r="N2433" s="487">
        <v>62026</v>
      </c>
      <c r="O2433" s="487" t="s">
        <v>3505</v>
      </c>
      <c r="P2433" s="484" t="s">
        <v>1553</v>
      </c>
      <c r="Q2433" s="458"/>
      <c r="R2433" s="459"/>
    </row>
    <row r="2434" spans="1:18" ht="48">
      <c r="A2434" s="493"/>
      <c r="B2434" s="387">
        <v>46198</v>
      </c>
      <c r="C2434" s="388">
        <v>46174</v>
      </c>
      <c r="D2434" s="39" t="s">
        <v>353</v>
      </c>
      <c r="E2434" s="484" t="s">
        <v>587</v>
      </c>
      <c r="F2434" s="497">
        <v>-100</v>
      </c>
      <c r="G2434" s="486" t="s">
        <v>3790</v>
      </c>
      <c r="H2434" s="389" t="s">
        <v>280</v>
      </c>
      <c r="I2434" s="484" t="s">
        <v>3423</v>
      </c>
      <c r="J2434" s="487" t="s">
        <v>770</v>
      </c>
      <c r="K2434" s="183"/>
      <c r="L2434" s="183"/>
      <c r="M2434" s="484" t="s">
        <v>708</v>
      </c>
      <c r="N2434" s="487">
        <v>62026</v>
      </c>
      <c r="O2434" s="487" t="s">
        <v>3505</v>
      </c>
      <c r="P2434" s="484" t="s">
        <v>1553</v>
      </c>
      <c r="Q2434" s="458"/>
      <c r="R2434" s="459"/>
    </row>
    <row r="2435" spans="1:18" ht="48">
      <c r="A2435" s="493"/>
      <c r="B2435" s="387">
        <v>46198</v>
      </c>
      <c r="C2435" s="388">
        <v>46174</v>
      </c>
      <c r="D2435" s="39" t="s">
        <v>353</v>
      </c>
      <c r="E2435" s="484" t="s">
        <v>587</v>
      </c>
      <c r="F2435" s="497">
        <v>-100</v>
      </c>
      <c r="G2435" s="486" t="s">
        <v>3791</v>
      </c>
      <c r="H2435" s="389" t="s">
        <v>280</v>
      </c>
      <c r="I2435" s="484" t="s">
        <v>3423</v>
      </c>
      <c r="J2435" s="487" t="s">
        <v>770</v>
      </c>
      <c r="K2435" s="183"/>
      <c r="L2435" s="183"/>
      <c r="M2435" s="484" t="s">
        <v>708</v>
      </c>
      <c r="N2435" s="487">
        <v>62026</v>
      </c>
      <c r="O2435" s="487" t="s">
        <v>3505</v>
      </c>
      <c r="P2435" s="484" t="s">
        <v>1553</v>
      </c>
      <c r="Q2435" s="458"/>
      <c r="R2435" s="459"/>
    </row>
    <row r="2436" spans="1:18" ht="48">
      <c r="A2436" s="493"/>
      <c r="B2436" s="387">
        <v>46198</v>
      </c>
      <c r="C2436" s="388">
        <v>46174</v>
      </c>
      <c r="D2436" s="39" t="s">
        <v>353</v>
      </c>
      <c r="E2436" s="484" t="s">
        <v>587</v>
      </c>
      <c r="F2436" s="497">
        <v>-100</v>
      </c>
      <c r="G2436" s="486" t="s">
        <v>3792</v>
      </c>
      <c r="H2436" s="389" t="s">
        <v>280</v>
      </c>
      <c r="I2436" s="484" t="s">
        <v>3423</v>
      </c>
      <c r="J2436" s="487" t="s">
        <v>770</v>
      </c>
      <c r="K2436" s="183"/>
      <c r="L2436" s="183"/>
      <c r="M2436" s="484" t="s">
        <v>708</v>
      </c>
      <c r="N2436" s="487">
        <v>62026</v>
      </c>
      <c r="O2436" s="487" t="s">
        <v>3505</v>
      </c>
      <c r="P2436" s="484" t="s">
        <v>1553</v>
      </c>
      <c r="Q2436" s="458"/>
      <c r="R2436" s="459"/>
    </row>
    <row r="2437" spans="1:18" ht="48">
      <c r="A2437" s="493"/>
      <c r="B2437" s="387">
        <v>46198</v>
      </c>
      <c r="C2437" s="388">
        <v>46174</v>
      </c>
      <c r="D2437" s="39" t="s">
        <v>353</v>
      </c>
      <c r="E2437" s="484" t="s">
        <v>587</v>
      </c>
      <c r="F2437" s="497">
        <v>-100</v>
      </c>
      <c r="G2437" s="486" t="s">
        <v>3793</v>
      </c>
      <c r="H2437" s="389" t="s">
        <v>280</v>
      </c>
      <c r="I2437" s="484" t="s">
        <v>3423</v>
      </c>
      <c r="J2437" s="487" t="s">
        <v>770</v>
      </c>
      <c r="K2437" s="183"/>
      <c r="L2437" s="183"/>
      <c r="M2437" s="484" t="s">
        <v>708</v>
      </c>
      <c r="N2437" s="487">
        <v>62026</v>
      </c>
      <c r="O2437" s="487" t="s">
        <v>3505</v>
      </c>
      <c r="P2437" s="484" t="s">
        <v>1553</v>
      </c>
      <c r="Q2437" s="458"/>
      <c r="R2437" s="459"/>
    </row>
    <row r="2438" spans="1:18" ht="48">
      <c r="A2438" s="493"/>
      <c r="B2438" s="387">
        <v>46198</v>
      </c>
      <c r="C2438" s="388">
        <v>46174</v>
      </c>
      <c r="D2438" s="39" t="s">
        <v>353</v>
      </c>
      <c r="E2438" s="484" t="s">
        <v>587</v>
      </c>
      <c r="F2438" s="497">
        <v>-100</v>
      </c>
      <c r="G2438" s="486" t="s">
        <v>3794</v>
      </c>
      <c r="H2438" s="389" t="s">
        <v>280</v>
      </c>
      <c r="I2438" s="484" t="s">
        <v>3423</v>
      </c>
      <c r="J2438" s="487" t="s">
        <v>770</v>
      </c>
      <c r="K2438" s="183"/>
      <c r="L2438" s="183"/>
      <c r="M2438" s="484" t="s">
        <v>708</v>
      </c>
      <c r="N2438" s="487">
        <v>62026</v>
      </c>
      <c r="O2438" s="487" t="s">
        <v>3505</v>
      </c>
      <c r="P2438" s="484" t="s">
        <v>1553</v>
      </c>
      <c r="Q2438" s="458"/>
      <c r="R2438" s="459"/>
    </row>
    <row r="2439" spans="1:18" ht="48">
      <c r="A2439" s="493"/>
      <c r="B2439" s="387">
        <v>46198</v>
      </c>
      <c r="C2439" s="388">
        <v>46174</v>
      </c>
      <c r="D2439" s="39" t="s">
        <v>353</v>
      </c>
      <c r="E2439" s="484" t="s">
        <v>587</v>
      </c>
      <c r="F2439" s="497">
        <v>-100</v>
      </c>
      <c r="G2439" s="486" t="s">
        <v>3795</v>
      </c>
      <c r="H2439" s="389" t="s">
        <v>280</v>
      </c>
      <c r="I2439" s="484" t="s">
        <v>3423</v>
      </c>
      <c r="J2439" s="487" t="s">
        <v>770</v>
      </c>
      <c r="K2439" s="183"/>
      <c r="L2439" s="183"/>
      <c r="M2439" s="484" t="s">
        <v>708</v>
      </c>
      <c r="N2439" s="487">
        <v>62026</v>
      </c>
      <c r="O2439" s="487" t="s">
        <v>3505</v>
      </c>
      <c r="P2439" s="484" t="s">
        <v>1553</v>
      </c>
      <c r="Q2439" s="458"/>
      <c r="R2439" s="459"/>
    </row>
    <row r="2440" spans="1:18" ht="48">
      <c r="A2440" s="493"/>
      <c r="B2440" s="387">
        <v>46198</v>
      </c>
      <c r="C2440" s="388">
        <v>46174</v>
      </c>
      <c r="D2440" s="39" t="s">
        <v>353</v>
      </c>
      <c r="E2440" s="484" t="s">
        <v>587</v>
      </c>
      <c r="F2440" s="497">
        <v>-100</v>
      </c>
      <c r="G2440" s="486" t="s">
        <v>3796</v>
      </c>
      <c r="H2440" s="389" t="s">
        <v>280</v>
      </c>
      <c r="I2440" s="484" t="s">
        <v>3423</v>
      </c>
      <c r="J2440" s="487" t="s">
        <v>770</v>
      </c>
      <c r="K2440" s="183"/>
      <c r="L2440" s="183"/>
      <c r="M2440" s="484" t="s">
        <v>708</v>
      </c>
      <c r="N2440" s="487">
        <v>62026</v>
      </c>
      <c r="O2440" s="487" t="s">
        <v>3505</v>
      </c>
      <c r="P2440" s="484" t="s">
        <v>1553</v>
      </c>
      <c r="Q2440" s="458"/>
      <c r="R2440" s="459"/>
    </row>
    <row r="2441" spans="1:18" ht="48">
      <c r="A2441" s="493"/>
      <c r="B2441" s="387">
        <v>46198</v>
      </c>
      <c r="C2441" s="388">
        <v>46174</v>
      </c>
      <c r="D2441" s="39" t="s">
        <v>353</v>
      </c>
      <c r="E2441" s="484" t="s">
        <v>587</v>
      </c>
      <c r="F2441" s="497">
        <v>-100</v>
      </c>
      <c r="G2441" s="486" t="s">
        <v>3797</v>
      </c>
      <c r="H2441" s="389" t="s">
        <v>280</v>
      </c>
      <c r="I2441" s="484" t="s">
        <v>3423</v>
      </c>
      <c r="J2441" s="487" t="s">
        <v>770</v>
      </c>
      <c r="K2441" s="183"/>
      <c r="L2441" s="183"/>
      <c r="M2441" s="484" t="s">
        <v>708</v>
      </c>
      <c r="N2441" s="487">
        <v>62026</v>
      </c>
      <c r="O2441" s="487" t="s">
        <v>3505</v>
      </c>
      <c r="P2441" s="484" t="s">
        <v>1553</v>
      </c>
      <c r="Q2441" s="458"/>
      <c r="R2441" s="459"/>
    </row>
    <row r="2442" spans="1:18" ht="48">
      <c r="A2442" s="493"/>
      <c r="B2442" s="387">
        <v>46198</v>
      </c>
      <c r="C2442" s="388">
        <v>46174</v>
      </c>
      <c r="D2442" s="39" t="s">
        <v>353</v>
      </c>
      <c r="E2442" s="484" t="s">
        <v>587</v>
      </c>
      <c r="F2442" s="497">
        <v>-100</v>
      </c>
      <c r="G2442" s="486" t="s">
        <v>3798</v>
      </c>
      <c r="H2442" s="389" t="s">
        <v>280</v>
      </c>
      <c r="I2442" s="484" t="s">
        <v>3423</v>
      </c>
      <c r="J2442" s="487" t="s">
        <v>770</v>
      </c>
      <c r="K2442" s="183"/>
      <c r="L2442" s="183"/>
      <c r="M2442" s="484" t="s">
        <v>708</v>
      </c>
      <c r="N2442" s="487">
        <v>62026</v>
      </c>
      <c r="O2442" s="487" t="s">
        <v>3505</v>
      </c>
      <c r="P2442" s="484" t="s">
        <v>1553</v>
      </c>
      <c r="Q2442" s="458"/>
      <c r="R2442" s="459"/>
    </row>
    <row r="2443" spans="1:18" ht="48">
      <c r="A2443" s="493"/>
      <c r="B2443" s="387">
        <v>46198</v>
      </c>
      <c r="C2443" s="388">
        <v>46174</v>
      </c>
      <c r="D2443" s="39" t="s">
        <v>353</v>
      </c>
      <c r="E2443" s="484" t="s">
        <v>587</v>
      </c>
      <c r="F2443" s="497">
        <v>-100</v>
      </c>
      <c r="G2443" s="486" t="s">
        <v>3799</v>
      </c>
      <c r="H2443" s="389" t="s">
        <v>280</v>
      </c>
      <c r="I2443" s="484" t="s">
        <v>3423</v>
      </c>
      <c r="J2443" s="487" t="s">
        <v>770</v>
      </c>
      <c r="K2443" s="183"/>
      <c r="L2443" s="183"/>
      <c r="M2443" s="484" t="s">
        <v>708</v>
      </c>
      <c r="N2443" s="487">
        <v>62026</v>
      </c>
      <c r="O2443" s="487" t="s">
        <v>3505</v>
      </c>
      <c r="P2443" s="484" t="s">
        <v>1553</v>
      </c>
      <c r="Q2443" s="458"/>
      <c r="R2443" s="459"/>
    </row>
    <row r="2444" spans="1:18" ht="48">
      <c r="A2444" s="493"/>
      <c r="B2444" s="387">
        <v>46198</v>
      </c>
      <c r="C2444" s="388">
        <v>46174</v>
      </c>
      <c r="D2444" s="39" t="s">
        <v>353</v>
      </c>
      <c r="E2444" s="484" t="s">
        <v>587</v>
      </c>
      <c r="F2444" s="497">
        <v>-100</v>
      </c>
      <c r="G2444" s="486" t="s">
        <v>3800</v>
      </c>
      <c r="H2444" s="389" t="s">
        <v>280</v>
      </c>
      <c r="I2444" s="484" t="s">
        <v>3423</v>
      </c>
      <c r="J2444" s="487" t="s">
        <v>770</v>
      </c>
      <c r="K2444" s="183"/>
      <c r="L2444" s="183"/>
      <c r="M2444" s="484" t="s">
        <v>708</v>
      </c>
      <c r="N2444" s="487">
        <v>62026</v>
      </c>
      <c r="O2444" s="487" t="s">
        <v>3505</v>
      </c>
      <c r="P2444" s="484" t="s">
        <v>1553</v>
      </c>
      <c r="Q2444" s="458"/>
      <c r="R2444" s="459"/>
    </row>
    <row r="2445" spans="1:18" ht="48">
      <c r="A2445" s="493"/>
      <c r="B2445" s="387">
        <v>46198</v>
      </c>
      <c r="C2445" s="388">
        <v>46174</v>
      </c>
      <c r="D2445" s="39" t="s">
        <v>353</v>
      </c>
      <c r="E2445" s="484" t="s">
        <v>587</v>
      </c>
      <c r="F2445" s="497">
        <v>-100</v>
      </c>
      <c r="G2445" s="486" t="s">
        <v>3801</v>
      </c>
      <c r="H2445" s="389" t="s">
        <v>280</v>
      </c>
      <c r="I2445" s="484" t="s">
        <v>3423</v>
      </c>
      <c r="J2445" s="487" t="s">
        <v>770</v>
      </c>
      <c r="K2445" s="183"/>
      <c r="L2445" s="183"/>
      <c r="M2445" s="484" t="s">
        <v>708</v>
      </c>
      <c r="N2445" s="487">
        <v>62026</v>
      </c>
      <c r="O2445" s="487" t="s">
        <v>3505</v>
      </c>
      <c r="P2445" s="484" t="s">
        <v>1553</v>
      </c>
      <c r="Q2445" s="458"/>
      <c r="R2445" s="459"/>
    </row>
    <row r="2446" spans="1:18" ht="48">
      <c r="A2446" s="493"/>
      <c r="B2446" s="387">
        <v>46198</v>
      </c>
      <c r="C2446" s="388">
        <v>46174</v>
      </c>
      <c r="D2446" s="39" t="s">
        <v>353</v>
      </c>
      <c r="E2446" s="484" t="s">
        <v>587</v>
      </c>
      <c r="F2446" s="497">
        <v>-100</v>
      </c>
      <c r="G2446" s="486" t="s">
        <v>3802</v>
      </c>
      <c r="H2446" s="389" t="s">
        <v>280</v>
      </c>
      <c r="I2446" s="484" t="s">
        <v>3423</v>
      </c>
      <c r="J2446" s="487" t="s">
        <v>770</v>
      </c>
      <c r="K2446" s="183"/>
      <c r="L2446" s="183"/>
      <c r="M2446" s="484" t="s">
        <v>708</v>
      </c>
      <c r="N2446" s="487">
        <v>62026</v>
      </c>
      <c r="O2446" s="487" t="s">
        <v>3505</v>
      </c>
      <c r="P2446" s="484" t="s">
        <v>1553</v>
      </c>
      <c r="Q2446" s="458"/>
      <c r="R2446" s="459"/>
    </row>
    <row r="2447" spans="1:18" ht="48">
      <c r="A2447" s="493"/>
      <c r="B2447" s="387">
        <v>46198</v>
      </c>
      <c r="C2447" s="388">
        <v>46174</v>
      </c>
      <c r="D2447" s="39" t="s">
        <v>353</v>
      </c>
      <c r="E2447" s="484" t="s">
        <v>587</v>
      </c>
      <c r="F2447" s="497">
        <v>-100</v>
      </c>
      <c r="G2447" s="486" t="s">
        <v>3803</v>
      </c>
      <c r="H2447" s="389" t="s">
        <v>280</v>
      </c>
      <c r="I2447" s="484" t="s">
        <v>3423</v>
      </c>
      <c r="J2447" s="487" t="s">
        <v>770</v>
      </c>
      <c r="K2447" s="183"/>
      <c r="L2447" s="183"/>
      <c r="M2447" s="484" t="s">
        <v>708</v>
      </c>
      <c r="N2447" s="487">
        <v>62026</v>
      </c>
      <c r="O2447" s="487" t="s">
        <v>3505</v>
      </c>
      <c r="P2447" s="484" t="s">
        <v>1553</v>
      </c>
      <c r="Q2447" s="458"/>
      <c r="R2447" s="459"/>
    </row>
    <row r="2448" spans="1:18" ht="48">
      <c r="A2448" s="493"/>
      <c r="B2448" s="387">
        <v>46198</v>
      </c>
      <c r="C2448" s="388">
        <v>46174</v>
      </c>
      <c r="D2448" s="39" t="s">
        <v>353</v>
      </c>
      <c r="E2448" s="484" t="s">
        <v>587</v>
      </c>
      <c r="F2448" s="497">
        <v>-100</v>
      </c>
      <c r="G2448" s="486" t="s">
        <v>3804</v>
      </c>
      <c r="H2448" s="389" t="s">
        <v>280</v>
      </c>
      <c r="I2448" s="484" t="s">
        <v>3423</v>
      </c>
      <c r="J2448" s="487" t="s">
        <v>770</v>
      </c>
      <c r="K2448" s="183"/>
      <c r="L2448" s="183"/>
      <c r="M2448" s="484" t="s">
        <v>708</v>
      </c>
      <c r="N2448" s="487">
        <v>62026</v>
      </c>
      <c r="O2448" s="487" t="s">
        <v>3505</v>
      </c>
      <c r="P2448" s="484" t="s">
        <v>1553</v>
      </c>
      <c r="Q2448" s="458"/>
      <c r="R2448" s="459"/>
    </row>
    <row r="2449" spans="1:18" ht="48">
      <c r="A2449" s="493"/>
      <c r="B2449" s="387">
        <v>46198</v>
      </c>
      <c r="C2449" s="388">
        <v>46174</v>
      </c>
      <c r="D2449" s="484" t="s">
        <v>166</v>
      </c>
      <c r="E2449" s="484" t="s">
        <v>581</v>
      </c>
      <c r="F2449" s="497">
        <v>-863.46</v>
      </c>
      <c r="G2449" s="486" t="s">
        <v>1404</v>
      </c>
      <c r="H2449" s="389" t="s">
        <v>166</v>
      </c>
      <c r="I2449" s="484" t="s">
        <v>1165</v>
      </c>
      <c r="J2449" s="487" t="s">
        <v>1166</v>
      </c>
      <c r="K2449" s="183"/>
      <c r="L2449" s="183"/>
      <c r="M2449" s="484" t="s">
        <v>708</v>
      </c>
      <c r="N2449" s="487">
        <v>62026</v>
      </c>
      <c r="O2449" s="487" t="s">
        <v>3505</v>
      </c>
      <c r="P2449" s="484" t="s">
        <v>1553</v>
      </c>
      <c r="Q2449" s="458"/>
      <c r="R2449" s="459"/>
    </row>
    <row r="2450" spans="1:18" ht="36">
      <c r="A2450" s="493"/>
      <c r="B2450" s="387">
        <v>46198</v>
      </c>
      <c r="C2450" s="388">
        <v>46174</v>
      </c>
      <c r="D2450" s="39" t="s">
        <v>353</v>
      </c>
      <c r="E2450" s="39" t="s">
        <v>153</v>
      </c>
      <c r="F2450" s="498">
        <v>5957.13</v>
      </c>
      <c r="G2450" s="486" t="s">
        <v>821</v>
      </c>
      <c r="H2450" s="389" t="s">
        <v>280</v>
      </c>
      <c r="I2450" s="484" t="s">
        <v>3381</v>
      </c>
      <c r="J2450" s="487" t="s">
        <v>683</v>
      </c>
      <c r="K2450" s="183"/>
      <c r="L2450" s="183"/>
      <c r="M2450" s="484" t="s">
        <v>706</v>
      </c>
      <c r="N2450" s="487">
        <v>2057887501</v>
      </c>
      <c r="O2450" s="487" t="s">
        <v>3505</v>
      </c>
      <c r="P2450" s="484" t="s">
        <v>1553</v>
      </c>
      <c r="Q2450" s="458"/>
      <c r="R2450" s="459"/>
    </row>
    <row r="2451" spans="1:18" ht="48">
      <c r="A2451" s="493"/>
      <c r="B2451" s="387">
        <v>46198</v>
      </c>
      <c r="C2451" s="388">
        <v>46174</v>
      </c>
      <c r="D2451" s="495" t="s">
        <v>248</v>
      </c>
      <c r="E2451" s="484" t="s">
        <v>597</v>
      </c>
      <c r="F2451" s="485">
        <v>55.76</v>
      </c>
      <c r="G2451" s="562" t="s">
        <v>3805</v>
      </c>
      <c r="H2451" s="462" t="s">
        <v>736</v>
      </c>
      <c r="I2451" s="484" t="s">
        <v>881</v>
      </c>
      <c r="J2451" s="487" t="s">
        <v>773</v>
      </c>
      <c r="K2451" s="183"/>
      <c r="L2451" s="183"/>
      <c r="M2451" s="484" t="s">
        <v>710</v>
      </c>
      <c r="N2451" s="487">
        <v>118771050</v>
      </c>
      <c r="O2451" s="487" t="s">
        <v>3505</v>
      </c>
      <c r="P2451" s="484" t="s">
        <v>735</v>
      </c>
      <c r="Q2451" s="458"/>
      <c r="R2451" s="459"/>
    </row>
    <row r="2452" spans="1:18" ht="48">
      <c r="A2452" s="493"/>
      <c r="B2452" s="387">
        <v>46198</v>
      </c>
      <c r="C2452" s="388">
        <v>46174</v>
      </c>
      <c r="D2452" s="495" t="s">
        <v>248</v>
      </c>
      <c r="E2452" s="484" t="s">
        <v>607</v>
      </c>
      <c r="F2452" s="561">
        <v>81.52</v>
      </c>
      <c r="G2452" s="564" t="s">
        <v>3845</v>
      </c>
      <c r="H2452" s="453" t="s">
        <v>278</v>
      </c>
      <c r="I2452" s="484" t="s">
        <v>881</v>
      </c>
      <c r="J2452" s="487" t="s">
        <v>773</v>
      </c>
      <c r="K2452" s="183"/>
      <c r="L2452" s="183"/>
      <c r="M2452" s="484" t="s">
        <v>710</v>
      </c>
      <c r="N2452" s="487">
        <v>254097</v>
      </c>
      <c r="O2452" s="487" t="s">
        <v>3505</v>
      </c>
      <c r="P2452" s="484" t="s">
        <v>735</v>
      </c>
      <c r="Q2452" s="458"/>
      <c r="R2452" s="459"/>
    </row>
    <row r="2453" spans="1:18" ht="60">
      <c r="A2453" s="493"/>
      <c r="B2453" s="387">
        <v>46198</v>
      </c>
      <c r="C2453" s="388">
        <v>46174</v>
      </c>
      <c r="D2453" s="495" t="s">
        <v>248</v>
      </c>
      <c r="E2453" s="60" t="s">
        <v>78</v>
      </c>
      <c r="F2453" s="498">
        <v>8501.2199999999993</v>
      </c>
      <c r="G2453" s="563" t="s">
        <v>2284</v>
      </c>
      <c r="H2453" s="453" t="s">
        <v>736</v>
      </c>
      <c r="I2453" s="484" t="s">
        <v>2137</v>
      </c>
      <c r="J2453" s="487" t="s">
        <v>2138</v>
      </c>
      <c r="K2453" s="183"/>
      <c r="L2453" s="183"/>
      <c r="M2453" s="484" t="s">
        <v>707</v>
      </c>
      <c r="N2453" s="487">
        <v>20</v>
      </c>
      <c r="O2453" s="487" t="s">
        <v>3497</v>
      </c>
      <c r="P2453" s="484" t="s">
        <v>1554</v>
      </c>
      <c r="Q2453" s="458"/>
      <c r="R2453" s="459"/>
    </row>
    <row r="2454" spans="1:18" ht="36">
      <c r="A2454" s="493"/>
      <c r="B2454" s="387">
        <v>46198</v>
      </c>
      <c r="C2454" s="388">
        <v>46174</v>
      </c>
      <c r="D2454" s="39" t="s">
        <v>353</v>
      </c>
      <c r="E2454" s="39" t="s">
        <v>334</v>
      </c>
      <c r="F2454" s="485">
        <v>221000</v>
      </c>
      <c r="G2454" s="486" t="s">
        <v>2940</v>
      </c>
      <c r="H2454" s="389" t="s">
        <v>280</v>
      </c>
      <c r="I2454" s="484" t="s">
        <v>3467</v>
      </c>
      <c r="J2454" s="487" t="s">
        <v>3468</v>
      </c>
      <c r="K2454" s="183"/>
      <c r="L2454" s="183"/>
      <c r="M2454" s="484" t="s">
        <v>719</v>
      </c>
      <c r="N2454" s="487">
        <v>62026</v>
      </c>
      <c r="O2454" s="487" t="s">
        <v>3485</v>
      </c>
      <c r="P2454" s="484" t="s">
        <v>3517</v>
      </c>
      <c r="Q2454" s="458"/>
      <c r="R2454" s="459"/>
    </row>
    <row r="2455" spans="1:18" ht="24">
      <c r="A2455" s="493"/>
      <c r="B2455" s="387">
        <v>46198</v>
      </c>
      <c r="C2455" s="388">
        <v>46143</v>
      </c>
      <c r="D2455" s="484" t="s">
        <v>166</v>
      </c>
      <c r="E2455" s="39" t="s">
        <v>10</v>
      </c>
      <c r="F2455" s="498">
        <v>12221.1</v>
      </c>
      <c r="G2455" s="486" t="s">
        <v>3806</v>
      </c>
      <c r="H2455" s="389" t="s">
        <v>166</v>
      </c>
      <c r="I2455" s="484" t="s">
        <v>647</v>
      </c>
      <c r="J2455" s="487" t="s">
        <v>648</v>
      </c>
      <c r="K2455" s="183"/>
      <c r="L2455" s="183"/>
      <c r="M2455" s="484" t="s">
        <v>718</v>
      </c>
      <c r="N2455" s="487">
        <v>62026</v>
      </c>
      <c r="O2455" s="487" t="s">
        <v>2546</v>
      </c>
      <c r="P2455" s="484" t="s">
        <v>1557</v>
      </c>
      <c r="Q2455" s="458"/>
      <c r="R2455" s="459"/>
    </row>
    <row r="2456" spans="1:18" ht="24">
      <c r="A2456" s="493"/>
      <c r="B2456" s="387">
        <v>46198</v>
      </c>
      <c r="C2456" s="388">
        <v>46143</v>
      </c>
      <c r="D2456" s="484" t="s">
        <v>166</v>
      </c>
      <c r="E2456" s="39" t="s">
        <v>10</v>
      </c>
      <c r="F2456" s="498">
        <v>45342.98</v>
      </c>
      <c r="G2456" s="486" t="s">
        <v>3807</v>
      </c>
      <c r="H2456" s="389" t="s">
        <v>166</v>
      </c>
      <c r="I2456" s="484" t="s">
        <v>647</v>
      </c>
      <c r="J2456" s="487" t="s">
        <v>648</v>
      </c>
      <c r="K2456" s="183"/>
      <c r="L2456" s="183"/>
      <c r="M2456" s="484" t="s">
        <v>718</v>
      </c>
      <c r="N2456" s="487">
        <v>62026</v>
      </c>
      <c r="O2456" s="487" t="s">
        <v>2546</v>
      </c>
      <c r="P2456" s="484" t="s">
        <v>1557</v>
      </c>
      <c r="Q2456" s="458"/>
      <c r="R2456" s="459"/>
    </row>
    <row r="2457" spans="1:18" ht="24">
      <c r="A2457" s="493"/>
      <c r="B2457" s="387">
        <v>46198</v>
      </c>
      <c r="C2457" s="388">
        <v>46143</v>
      </c>
      <c r="D2457" s="484" t="s">
        <v>166</v>
      </c>
      <c r="E2457" s="39" t="s">
        <v>452</v>
      </c>
      <c r="F2457" s="497">
        <v>20731.919999999998</v>
      </c>
      <c r="G2457" s="486" t="s">
        <v>3808</v>
      </c>
      <c r="H2457" s="389" t="s">
        <v>166</v>
      </c>
      <c r="I2457" s="484" t="s">
        <v>3469</v>
      </c>
      <c r="J2457" s="487" t="s">
        <v>3470</v>
      </c>
      <c r="K2457" s="183"/>
      <c r="L2457" s="183"/>
      <c r="M2457" s="484" t="s">
        <v>705</v>
      </c>
      <c r="N2457" s="487">
        <v>375</v>
      </c>
      <c r="O2457" s="487" t="s">
        <v>3486</v>
      </c>
      <c r="P2457" s="484" t="s">
        <v>1557</v>
      </c>
      <c r="Q2457" s="458"/>
      <c r="R2457" s="459"/>
    </row>
    <row r="2458" spans="1:18" ht="24">
      <c r="A2458" s="493"/>
      <c r="B2458" s="387">
        <v>46198</v>
      </c>
      <c r="C2458" s="388">
        <v>46143</v>
      </c>
      <c r="D2458" s="484" t="s">
        <v>166</v>
      </c>
      <c r="E2458" s="39" t="s">
        <v>452</v>
      </c>
      <c r="F2458" s="497">
        <v>29548.63</v>
      </c>
      <c r="G2458" s="486" t="s">
        <v>3809</v>
      </c>
      <c r="H2458" s="389" t="s">
        <v>166</v>
      </c>
      <c r="I2458" s="484" t="s">
        <v>3471</v>
      </c>
      <c r="J2458" s="487" t="s">
        <v>3472</v>
      </c>
      <c r="K2458" s="183"/>
      <c r="L2458" s="183"/>
      <c r="M2458" s="484" t="s">
        <v>705</v>
      </c>
      <c r="N2458" s="487">
        <v>375</v>
      </c>
      <c r="O2458" s="487" t="s">
        <v>3486</v>
      </c>
      <c r="P2458" s="484" t="s">
        <v>1557</v>
      </c>
      <c r="Q2458" s="458"/>
      <c r="R2458" s="459"/>
    </row>
    <row r="2459" spans="1:18" ht="24">
      <c r="A2459" s="493"/>
      <c r="B2459" s="387">
        <v>46198</v>
      </c>
      <c r="C2459" s="388">
        <v>46174</v>
      </c>
      <c r="D2459" s="484" t="s">
        <v>166</v>
      </c>
      <c r="E2459" s="484" t="s">
        <v>586</v>
      </c>
      <c r="F2459" s="462">
        <v>-10.029999999999999</v>
      </c>
      <c r="G2459" s="486" t="s">
        <v>3810</v>
      </c>
      <c r="H2459" s="389" t="s">
        <v>166</v>
      </c>
      <c r="I2459" s="484" t="s">
        <v>1117</v>
      </c>
      <c r="J2459" s="487" t="s">
        <v>1118</v>
      </c>
      <c r="K2459" s="183"/>
      <c r="L2459" s="183"/>
      <c r="M2459" s="484" t="s">
        <v>710</v>
      </c>
      <c r="N2459" s="487">
        <v>62026</v>
      </c>
      <c r="O2459" s="487" t="s">
        <v>3485</v>
      </c>
      <c r="P2459" s="484" t="s">
        <v>735</v>
      </c>
      <c r="Q2459" s="458"/>
      <c r="R2459" s="459"/>
    </row>
    <row r="2460" spans="1:18" ht="48">
      <c r="A2460" s="493"/>
      <c r="B2460" s="387">
        <v>46199</v>
      </c>
      <c r="C2460" s="388">
        <v>46174</v>
      </c>
      <c r="D2460" s="39" t="s">
        <v>353</v>
      </c>
      <c r="E2460" s="39" t="s">
        <v>334</v>
      </c>
      <c r="F2460" s="498">
        <v>185000</v>
      </c>
      <c r="G2460" s="486" t="s">
        <v>3811</v>
      </c>
      <c r="H2460" s="389" t="s">
        <v>280</v>
      </c>
      <c r="I2460" s="484" t="s">
        <v>3473</v>
      </c>
      <c r="J2460" s="487" t="s">
        <v>3474</v>
      </c>
      <c r="K2460" s="183"/>
      <c r="L2460" s="183"/>
      <c r="M2460" s="484" t="s">
        <v>711</v>
      </c>
      <c r="N2460" s="487">
        <v>26062026</v>
      </c>
      <c r="O2460" s="487" t="s">
        <v>3499</v>
      </c>
      <c r="P2460" s="484" t="s">
        <v>1554</v>
      </c>
      <c r="Q2460" s="458"/>
      <c r="R2460" s="459"/>
    </row>
    <row r="2461" spans="1:18" ht="48">
      <c r="A2461" s="493"/>
      <c r="B2461" s="387">
        <v>46199</v>
      </c>
      <c r="C2461" s="388">
        <v>46174</v>
      </c>
      <c r="D2461" s="39" t="s">
        <v>353</v>
      </c>
      <c r="E2461" s="39" t="s">
        <v>334</v>
      </c>
      <c r="F2461" s="498">
        <v>8.1199999999999992</v>
      </c>
      <c r="G2461" s="486" t="s">
        <v>3812</v>
      </c>
      <c r="H2461" s="389" t="s">
        <v>280</v>
      </c>
      <c r="I2461" s="484" t="s">
        <v>771</v>
      </c>
      <c r="J2461" s="487" t="s">
        <v>772</v>
      </c>
      <c r="K2461" s="183"/>
      <c r="L2461" s="183"/>
      <c r="M2461" s="484" t="s">
        <v>711</v>
      </c>
      <c r="N2461" s="487">
        <v>62026</v>
      </c>
      <c r="O2461" s="487" t="s">
        <v>3499</v>
      </c>
      <c r="P2461" s="484" t="s">
        <v>1554</v>
      </c>
      <c r="Q2461" s="458"/>
      <c r="R2461" s="459"/>
    </row>
    <row r="2462" spans="1:18" ht="48">
      <c r="A2462" s="493"/>
      <c r="B2462" s="387">
        <v>46199</v>
      </c>
      <c r="C2462" s="388">
        <v>46174</v>
      </c>
      <c r="D2462" s="495" t="s">
        <v>248</v>
      </c>
      <c r="E2462" s="484" t="s">
        <v>610</v>
      </c>
      <c r="F2462" s="485">
        <v>25</v>
      </c>
      <c r="G2462" s="486" t="s">
        <v>3750</v>
      </c>
      <c r="H2462" s="462" t="s">
        <v>278</v>
      </c>
      <c r="I2462" s="484" t="s">
        <v>881</v>
      </c>
      <c r="J2462" s="487" t="s">
        <v>773</v>
      </c>
      <c r="K2462" s="183"/>
      <c r="L2462" s="183"/>
      <c r="M2462" s="484" t="s">
        <v>710</v>
      </c>
      <c r="N2462" s="487">
        <v>76762</v>
      </c>
      <c r="O2462" s="487" t="s">
        <v>3507</v>
      </c>
      <c r="P2462" s="484" t="s">
        <v>735</v>
      </c>
      <c r="Q2462" s="458"/>
      <c r="R2462" s="459"/>
    </row>
    <row r="2463" spans="1:18" ht="36">
      <c r="A2463" s="493"/>
      <c r="B2463" s="387">
        <v>46199</v>
      </c>
      <c r="C2463" s="388">
        <v>46174</v>
      </c>
      <c r="D2463" s="495" t="s">
        <v>248</v>
      </c>
      <c r="E2463" s="484" t="s">
        <v>597</v>
      </c>
      <c r="F2463" s="485">
        <v>31.17</v>
      </c>
      <c r="G2463" s="486" t="s">
        <v>3813</v>
      </c>
      <c r="H2463" s="462" t="s">
        <v>736</v>
      </c>
      <c r="I2463" s="484" t="s">
        <v>881</v>
      </c>
      <c r="J2463" s="487" t="s">
        <v>773</v>
      </c>
      <c r="K2463" s="183"/>
      <c r="L2463" s="183"/>
      <c r="M2463" s="484" t="s">
        <v>710</v>
      </c>
      <c r="N2463" s="487">
        <v>318</v>
      </c>
      <c r="O2463" s="487" t="s">
        <v>3506</v>
      </c>
      <c r="P2463" s="484" t="s">
        <v>735</v>
      </c>
      <c r="Q2463" s="458"/>
      <c r="R2463" s="459"/>
    </row>
    <row r="2464" spans="1:18" ht="36">
      <c r="A2464" s="493"/>
      <c r="B2464" s="387">
        <v>46199</v>
      </c>
      <c r="C2464" s="388">
        <v>46174</v>
      </c>
      <c r="D2464" s="39" t="s">
        <v>353</v>
      </c>
      <c r="E2464" s="39" t="s">
        <v>334</v>
      </c>
      <c r="F2464" s="498">
        <v>0.01</v>
      </c>
      <c r="G2464" s="486" t="s">
        <v>3814</v>
      </c>
      <c r="H2464" s="389" t="s">
        <v>280</v>
      </c>
      <c r="I2464" s="484" t="s">
        <v>3382</v>
      </c>
      <c r="J2464" s="487" t="s">
        <v>3383</v>
      </c>
      <c r="K2464" s="183"/>
      <c r="L2464" s="183"/>
      <c r="M2464" s="484" t="s">
        <v>708</v>
      </c>
      <c r="N2464" s="487">
        <v>62026</v>
      </c>
      <c r="O2464" s="487" t="s">
        <v>3485</v>
      </c>
      <c r="P2464" s="484" t="s">
        <v>1553</v>
      </c>
      <c r="Q2464" s="458"/>
      <c r="R2464" s="459"/>
    </row>
    <row r="2465" spans="1:18" ht="36">
      <c r="A2465" s="493"/>
      <c r="B2465" s="387">
        <v>46202</v>
      </c>
      <c r="C2465" s="388">
        <v>46174</v>
      </c>
      <c r="D2465" s="495" t="s">
        <v>248</v>
      </c>
      <c r="E2465" s="484" t="s">
        <v>595</v>
      </c>
      <c r="F2465" s="498">
        <v>3127.25</v>
      </c>
      <c r="G2465" s="486" t="s">
        <v>3815</v>
      </c>
      <c r="H2465" s="462" t="s">
        <v>738</v>
      </c>
      <c r="I2465" s="484" t="s">
        <v>1151</v>
      </c>
      <c r="J2465" s="487" t="s">
        <v>1152</v>
      </c>
      <c r="K2465" s="183"/>
      <c r="L2465" s="183"/>
      <c r="M2465" s="484" t="s">
        <v>704</v>
      </c>
      <c r="N2465" s="487">
        <v>38634</v>
      </c>
      <c r="O2465" s="487" t="s">
        <v>3508</v>
      </c>
      <c r="P2465" s="484" t="s">
        <v>1554</v>
      </c>
      <c r="Q2465" s="458"/>
      <c r="R2465" s="459"/>
    </row>
    <row r="2466" spans="1:18" ht="36">
      <c r="A2466" s="493"/>
      <c r="B2466" s="387">
        <v>46202</v>
      </c>
      <c r="C2466" s="388">
        <v>46174</v>
      </c>
      <c r="D2466" s="495" t="s">
        <v>248</v>
      </c>
      <c r="E2466" s="484" t="s">
        <v>595</v>
      </c>
      <c r="F2466" s="498">
        <v>3127.25</v>
      </c>
      <c r="G2466" s="486" t="s">
        <v>3816</v>
      </c>
      <c r="H2466" s="462" t="s">
        <v>738</v>
      </c>
      <c r="I2466" s="484" t="s">
        <v>1151</v>
      </c>
      <c r="J2466" s="487" t="s">
        <v>1152</v>
      </c>
      <c r="K2466" s="183"/>
      <c r="L2466" s="183"/>
      <c r="M2466" s="484" t="s">
        <v>704</v>
      </c>
      <c r="N2466" s="487">
        <v>38653</v>
      </c>
      <c r="O2466" s="487" t="s">
        <v>3508</v>
      </c>
      <c r="P2466" s="484" t="s">
        <v>1554</v>
      </c>
      <c r="Q2466" s="458"/>
      <c r="R2466" s="459"/>
    </row>
    <row r="2467" spans="1:18" s="439" customFormat="1" ht="30.75" customHeight="1">
      <c r="A2467" s="502"/>
      <c r="B2467" s="503">
        <v>46202</v>
      </c>
      <c r="C2467" s="504">
        <v>46174</v>
      </c>
      <c r="D2467" s="558" t="s">
        <v>132</v>
      </c>
      <c r="E2467" s="565" t="s">
        <v>210</v>
      </c>
      <c r="F2467" s="512">
        <v>6909</v>
      </c>
      <c r="G2467" s="507" t="s">
        <v>3846</v>
      </c>
      <c r="H2467" s="439" t="s">
        <v>278</v>
      </c>
      <c r="I2467" s="506" t="s">
        <v>3847</v>
      </c>
      <c r="J2467" s="509" t="s">
        <v>3848</v>
      </c>
      <c r="K2467" s="510"/>
      <c r="L2467" s="510"/>
      <c r="M2467" s="506" t="s">
        <v>707</v>
      </c>
      <c r="N2467" s="509"/>
      <c r="O2467" s="509"/>
      <c r="P2467" s="506"/>
      <c r="Q2467" s="505"/>
      <c r="R2467" s="511"/>
    </row>
    <row r="2468" spans="1:18" ht="60">
      <c r="A2468" s="493"/>
      <c r="B2468" s="387">
        <v>46202</v>
      </c>
      <c r="C2468" s="388">
        <v>46174</v>
      </c>
      <c r="D2468" s="495" t="s">
        <v>248</v>
      </c>
      <c r="E2468" s="484" t="s">
        <v>591</v>
      </c>
      <c r="F2468" s="498">
        <v>483.65</v>
      </c>
      <c r="G2468" s="486" t="s">
        <v>3817</v>
      </c>
      <c r="H2468" s="153" t="s">
        <v>1418</v>
      </c>
      <c r="I2468" s="484" t="s">
        <v>3475</v>
      </c>
      <c r="J2468" s="487" t="s">
        <v>3476</v>
      </c>
      <c r="K2468" s="183"/>
      <c r="L2468" s="183"/>
      <c r="M2468" s="484" t="s">
        <v>708</v>
      </c>
      <c r="N2468" s="487">
        <v>282</v>
      </c>
      <c r="O2468" s="487" t="s">
        <v>3501</v>
      </c>
      <c r="P2468" s="484" t="s">
        <v>1553</v>
      </c>
      <c r="Q2468" s="458"/>
      <c r="R2468" s="459"/>
    </row>
    <row r="2469" spans="1:18" ht="24">
      <c r="A2469" s="493"/>
      <c r="B2469" s="387">
        <v>46202</v>
      </c>
      <c r="C2469" s="388">
        <v>46174</v>
      </c>
      <c r="D2469" s="495" t="s">
        <v>248</v>
      </c>
      <c r="E2469" s="484" t="s">
        <v>607</v>
      </c>
      <c r="F2469" s="485">
        <v>64.349999999999994</v>
      </c>
      <c r="G2469" s="486" t="s">
        <v>3818</v>
      </c>
      <c r="H2469" s="462" t="s">
        <v>736</v>
      </c>
      <c r="I2469" s="484" t="s">
        <v>881</v>
      </c>
      <c r="J2469" s="487" t="s">
        <v>773</v>
      </c>
      <c r="K2469" s="183"/>
      <c r="L2469" s="183"/>
      <c r="M2469" s="484" t="s">
        <v>710</v>
      </c>
      <c r="N2469" s="487">
        <v>351114</v>
      </c>
      <c r="O2469" s="487" t="s">
        <v>3509</v>
      </c>
      <c r="P2469" s="484" t="s">
        <v>735</v>
      </c>
      <c r="Q2469" s="458"/>
      <c r="R2469" s="459"/>
    </row>
    <row r="2470" spans="1:18" ht="24">
      <c r="A2470" s="493"/>
      <c r="B2470" s="387">
        <v>46202</v>
      </c>
      <c r="C2470" s="388">
        <v>46174</v>
      </c>
      <c r="D2470" s="495" t="s">
        <v>248</v>
      </c>
      <c r="E2470" s="484" t="s">
        <v>607</v>
      </c>
      <c r="F2470" s="485">
        <v>71.72</v>
      </c>
      <c r="G2470" s="486" t="s">
        <v>3819</v>
      </c>
      <c r="H2470" s="462" t="s">
        <v>736</v>
      </c>
      <c r="I2470" s="484" t="s">
        <v>881</v>
      </c>
      <c r="J2470" s="487" t="s">
        <v>773</v>
      </c>
      <c r="K2470" s="183"/>
      <c r="L2470" s="183"/>
      <c r="M2470" s="484" t="s">
        <v>710</v>
      </c>
      <c r="N2470" s="487">
        <v>120332</v>
      </c>
      <c r="O2470" s="487" t="s">
        <v>3509</v>
      </c>
      <c r="P2470" s="484" t="s">
        <v>735</v>
      </c>
      <c r="Q2470" s="458"/>
      <c r="R2470" s="459"/>
    </row>
    <row r="2471" spans="1:18" ht="36">
      <c r="A2471" s="493"/>
      <c r="B2471" s="387">
        <v>46202</v>
      </c>
      <c r="C2471" s="388">
        <v>46174</v>
      </c>
      <c r="D2471" s="495" t="s">
        <v>248</v>
      </c>
      <c r="E2471" s="484" t="s">
        <v>607</v>
      </c>
      <c r="F2471" s="485">
        <v>140.6</v>
      </c>
      <c r="G2471" s="486" t="s">
        <v>3820</v>
      </c>
      <c r="H2471" s="462" t="s">
        <v>736</v>
      </c>
      <c r="I2471" s="484" t="s">
        <v>881</v>
      </c>
      <c r="J2471" s="487" t="s">
        <v>773</v>
      </c>
      <c r="K2471" s="183"/>
      <c r="L2471" s="183"/>
      <c r="M2471" s="484" t="s">
        <v>710</v>
      </c>
      <c r="N2471" s="487">
        <v>376830</v>
      </c>
      <c r="O2471" s="487" t="s">
        <v>3509</v>
      </c>
      <c r="P2471" s="484" t="s">
        <v>735</v>
      </c>
      <c r="Q2471" s="458"/>
      <c r="R2471" s="459"/>
    </row>
    <row r="2472" spans="1:18" ht="24">
      <c r="A2472" s="493"/>
      <c r="B2472" s="387">
        <v>46202</v>
      </c>
      <c r="C2472" s="388">
        <v>46143</v>
      </c>
      <c r="D2472" s="484" t="s">
        <v>166</v>
      </c>
      <c r="E2472" s="39" t="s">
        <v>452</v>
      </c>
      <c r="F2472" s="497">
        <v>15889.82</v>
      </c>
      <c r="G2472" s="486" t="s">
        <v>3821</v>
      </c>
      <c r="H2472" s="389" t="s">
        <v>166</v>
      </c>
      <c r="I2472" s="484" t="s">
        <v>3477</v>
      </c>
      <c r="J2472" s="487" t="s">
        <v>3478</v>
      </c>
      <c r="K2472" s="183"/>
      <c r="L2472" s="183"/>
      <c r="M2472" s="484" t="s">
        <v>705</v>
      </c>
      <c r="N2472" s="487">
        <v>375</v>
      </c>
      <c r="O2472" s="487" t="s">
        <v>3486</v>
      </c>
      <c r="P2472" s="484" t="s">
        <v>1557</v>
      </c>
      <c r="Q2472" s="458"/>
      <c r="R2472" s="459"/>
    </row>
    <row r="2473" spans="1:18" ht="24">
      <c r="A2473" s="493"/>
      <c r="B2473" s="387">
        <v>46202</v>
      </c>
      <c r="C2473" s="388">
        <v>46143</v>
      </c>
      <c r="D2473" s="484" t="s">
        <v>166</v>
      </c>
      <c r="E2473" s="39" t="s">
        <v>452</v>
      </c>
      <c r="F2473" s="497">
        <v>50665.01</v>
      </c>
      <c r="G2473" s="486" t="s">
        <v>3822</v>
      </c>
      <c r="H2473" s="389" t="s">
        <v>166</v>
      </c>
      <c r="I2473" s="484" t="s">
        <v>3479</v>
      </c>
      <c r="J2473" s="487" t="s">
        <v>3480</v>
      </c>
      <c r="K2473" s="183"/>
      <c r="L2473" s="183"/>
      <c r="M2473" s="484" t="s">
        <v>705</v>
      </c>
      <c r="N2473" s="487">
        <v>375</v>
      </c>
      <c r="O2473" s="487" t="s">
        <v>3486</v>
      </c>
      <c r="P2473" s="484" t="s">
        <v>1557</v>
      </c>
      <c r="Q2473" s="458"/>
      <c r="R2473" s="459"/>
    </row>
    <row r="2474" spans="1:18" ht="24">
      <c r="A2474" s="493"/>
      <c r="B2474" s="387">
        <v>46202</v>
      </c>
      <c r="C2474" s="388">
        <v>46174</v>
      </c>
      <c r="D2474" s="484" t="s">
        <v>166</v>
      </c>
      <c r="E2474" s="484" t="s">
        <v>583</v>
      </c>
      <c r="F2474" s="497">
        <v>986.67</v>
      </c>
      <c r="G2474" s="486" t="s">
        <v>3823</v>
      </c>
      <c r="H2474" s="389" t="s">
        <v>166</v>
      </c>
      <c r="I2474" s="484" t="s">
        <v>3481</v>
      </c>
      <c r="J2474" s="487" t="s">
        <v>3482</v>
      </c>
      <c r="K2474" s="183"/>
      <c r="L2474" s="183"/>
      <c r="M2474" s="484" t="s">
        <v>705</v>
      </c>
      <c r="N2474" s="487">
        <v>733</v>
      </c>
      <c r="O2474" s="487" t="s">
        <v>3485</v>
      </c>
      <c r="P2474" s="484" t="s">
        <v>1557</v>
      </c>
      <c r="Q2474" s="458"/>
      <c r="R2474" s="459"/>
    </row>
    <row r="2475" spans="1:18" ht="24">
      <c r="A2475" s="493"/>
      <c r="B2475" s="387">
        <v>46202</v>
      </c>
      <c r="C2475" s="388">
        <v>46174</v>
      </c>
      <c r="D2475" s="484" t="s">
        <v>166</v>
      </c>
      <c r="E2475" s="484" t="s">
        <v>583</v>
      </c>
      <c r="F2475" s="497">
        <v>9233.35</v>
      </c>
      <c r="G2475" s="486" t="s">
        <v>3824</v>
      </c>
      <c r="H2475" s="389" t="s">
        <v>166</v>
      </c>
      <c r="I2475" s="484" t="s">
        <v>3483</v>
      </c>
      <c r="J2475" s="487" t="s">
        <v>3484</v>
      </c>
      <c r="K2475" s="183"/>
      <c r="L2475" s="183"/>
      <c r="M2475" s="484" t="s">
        <v>705</v>
      </c>
      <c r="N2475" s="487">
        <v>733</v>
      </c>
      <c r="O2475" s="487" t="s">
        <v>3485</v>
      </c>
      <c r="P2475" s="484" t="s">
        <v>1557</v>
      </c>
      <c r="Q2475" s="458"/>
      <c r="R2475" s="459"/>
    </row>
    <row r="2476" spans="1:18" ht="36">
      <c r="A2476" s="493"/>
      <c r="B2476" s="387">
        <v>46203</v>
      </c>
      <c r="C2476" s="388">
        <v>46174</v>
      </c>
      <c r="D2476" s="495" t="s">
        <v>248</v>
      </c>
      <c r="E2476" s="484" t="s">
        <v>1208</v>
      </c>
      <c r="F2476" s="498">
        <v>610.84</v>
      </c>
      <c r="G2476" s="486" t="s">
        <v>3825</v>
      </c>
      <c r="H2476" s="462" t="s">
        <v>278</v>
      </c>
      <c r="I2476" s="484" t="s">
        <v>1046</v>
      </c>
      <c r="J2476" s="487" t="s">
        <v>1047</v>
      </c>
      <c r="K2476" s="183"/>
      <c r="L2476" s="183"/>
      <c r="M2476" s="484" t="s">
        <v>704</v>
      </c>
      <c r="N2476" s="487">
        <v>3315</v>
      </c>
      <c r="O2476" s="487" t="s">
        <v>3295</v>
      </c>
      <c r="P2476" s="484" t="s">
        <v>1553</v>
      </c>
      <c r="Q2476" s="458"/>
      <c r="R2476" s="459"/>
    </row>
    <row r="2477" spans="1:18" ht="36">
      <c r="A2477" s="493"/>
      <c r="B2477" s="387">
        <v>46203</v>
      </c>
      <c r="C2477" s="388">
        <v>46174</v>
      </c>
      <c r="D2477" s="495" t="s">
        <v>248</v>
      </c>
      <c r="E2477" s="59" t="s">
        <v>167</v>
      </c>
      <c r="F2477" s="498">
        <v>1129.32</v>
      </c>
      <c r="G2477" s="486" t="s">
        <v>3826</v>
      </c>
      <c r="H2477" s="389" t="s">
        <v>278</v>
      </c>
      <c r="I2477" s="484" t="s">
        <v>702</v>
      </c>
      <c r="J2477" s="487" t="s">
        <v>703</v>
      </c>
      <c r="K2477" s="183"/>
      <c r="L2477" s="183"/>
      <c r="M2477" s="484" t="s">
        <v>704</v>
      </c>
      <c r="N2477" s="487">
        <v>1113</v>
      </c>
      <c r="O2477" s="487" t="s">
        <v>3485</v>
      </c>
      <c r="P2477" s="484" t="s">
        <v>1554</v>
      </c>
      <c r="Q2477" s="458"/>
      <c r="R2477" s="459"/>
    </row>
    <row r="2478" spans="1:18" ht="48">
      <c r="A2478" s="493"/>
      <c r="B2478" s="387">
        <v>46203</v>
      </c>
      <c r="C2478" s="388">
        <v>46174</v>
      </c>
      <c r="D2478" s="495" t="s">
        <v>248</v>
      </c>
      <c r="E2478" s="484" t="s">
        <v>610</v>
      </c>
      <c r="F2478" s="485">
        <v>12.5</v>
      </c>
      <c r="G2478" s="486" t="s">
        <v>3750</v>
      </c>
      <c r="H2478" s="462" t="s">
        <v>278</v>
      </c>
      <c r="I2478" s="484" t="s">
        <v>881</v>
      </c>
      <c r="J2478" s="487" t="s">
        <v>773</v>
      </c>
      <c r="K2478" s="183"/>
      <c r="L2478" s="183"/>
      <c r="M2478" s="484" t="s">
        <v>710</v>
      </c>
      <c r="N2478" s="487">
        <v>76768</v>
      </c>
      <c r="O2478" s="487" t="s">
        <v>3506</v>
      </c>
      <c r="P2478" s="484" t="s">
        <v>735</v>
      </c>
      <c r="Q2478" s="458"/>
      <c r="R2478" s="459"/>
    </row>
    <row r="2479" spans="1:18" ht="48">
      <c r="A2479" s="493"/>
      <c r="B2479" s="387">
        <v>46203</v>
      </c>
      <c r="C2479" s="388">
        <v>46174</v>
      </c>
      <c r="D2479" s="495" t="s">
        <v>248</v>
      </c>
      <c r="E2479" s="484" t="s">
        <v>610</v>
      </c>
      <c r="F2479" s="485">
        <v>12.5</v>
      </c>
      <c r="G2479" s="486" t="s">
        <v>3750</v>
      </c>
      <c r="H2479" s="462" t="s">
        <v>278</v>
      </c>
      <c r="I2479" s="484" t="s">
        <v>881</v>
      </c>
      <c r="J2479" s="487" t="s">
        <v>773</v>
      </c>
      <c r="K2479" s="183"/>
      <c r="L2479" s="183"/>
      <c r="M2479" s="484" t="s">
        <v>710</v>
      </c>
      <c r="N2479" s="487">
        <v>76769</v>
      </c>
      <c r="O2479" s="487" t="s">
        <v>3506</v>
      </c>
      <c r="P2479" s="484" t="s">
        <v>735</v>
      </c>
      <c r="Q2479" s="458"/>
      <c r="R2479" s="459"/>
    </row>
    <row r="2480" spans="1:18" ht="24">
      <c r="A2480" s="493"/>
      <c r="B2480" s="387">
        <v>46203</v>
      </c>
      <c r="C2480" s="388">
        <v>46174</v>
      </c>
      <c r="D2480" s="495" t="s">
        <v>248</v>
      </c>
      <c r="E2480" s="484" t="s">
        <v>597</v>
      </c>
      <c r="F2480" s="485">
        <v>59.9</v>
      </c>
      <c r="G2480" s="486" t="s">
        <v>3827</v>
      </c>
      <c r="H2480" s="462" t="s">
        <v>278</v>
      </c>
      <c r="I2480" s="484" t="s">
        <v>881</v>
      </c>
      <c r="J2480" s="487" t="s">
        <v>773</v>
      </c>
      <c r="K2480" s="183"/>
      <c r="L2480" s="183"/>
      <c r="M2480" s="484" t="s">
        <v>710</v>
      </c>
      <c r="N2480" s="487">
        <v>133251</v>
      </c>
      <c r="O2480" s="487" t="s">
        <v>3506</v>
      </c>
      <c r="P2480" s="484" t="s">
        <v>735</v>
      </c>
      <c r="Q2480" s="458"/>
      <c r="R2480" s="459"/>
    </row>
    <row r="2481" spans="1:18" ht="48">
      <c r="A2481" s="493"/>
      <c r="B2481" s="387">
        <v>46203</v>
      </c>
      <c r="C2481" s="388">
        <v>46174</v>
      </c>
      <c r="D2481" s="495" t="s">
        <v>248</v>
      </c>
      <c r="E2481" s="60" t="s">
        <v>61</v>
      </c>
      <c r="F2481" s="485">
        <v>200</v>
      </c>
      <c r="G2481" s="486" t="s">
        <v>3828</v>
      </c>
      <c r="H2481" s="389" t="s">
        <v>278</v>
      </c>
      <c r="I2481" s="484" t="s">
        <v>881</v>
      </c>
      <c r="J2481" s="487" t="s">
        <v>773</v>
      </c>
      <c r="K2481" s="183"/>
      <c r="L2481" s="183"/>
      <c r="M2481" s="484" t="s">
        <v>710</v>
      </c>
      <c r="N2481" s="487">
        <v>856</v>
      </c>
      <c r="O2481" s="487" t="s">
        <v>3506</v>
      </c>
      <c r="P2481" s="484" t="s">
        <v>735</v>
      </c>
      <c r="Q2481" s="458"/>
      <c r="R2481" s="459"/>
    </row>
    <row r="2482" spans="1:18" ht="24">
      <c r="A2482" s="493"/>
      <c r="B2482" s="387">
        <v>46203</v>
      </c>
      <c r="C2482" s="388">
        <v>46174</v>
      </c>
      <c r="D2482" s="495" t="s">
        <v>248</v>
      </c>
      <c r="E2482" s="484" t="s">
        <v>597</v>
      </c>
      <c r="F2482" s="485">
        <v>76.14</v>
      </c>
      <c r="G2482" s="486" t="s">
        <v>3829</v>
      </c>
      <c r="H2482" s="462" t="s">
        <v>278</v>
      </c>
      <c r="I2482" s="484" t="s">
        <v>881</v>
      </c>
      <c r="J2482" s="487" t="s">
        <v>773</v>
      </c>
      <c r="K2482" s="183"/>
      <c r="L2482" s="183"/>
      <c r="M2482" s="484" t="s">
        <v>710</v>
      </c>
      <c r="N2482" s="487">
        <v>191005</v>
      </c>
      <c r="O2482" s="487" t="s">
        <v>3506</v>
      </c>
      <c r="P2482" s="484" t="s">
        <v>735</v>
      </c>
      <c r="Q2482" s="458"/>
      <c r="R2482" s="459"/>
    </row>
    <row r="2483" spans="1:18" ht="24">
      <c r="A2483" s="493"/>
      <c r="B2483" s="387">
        <v>46203</v>
      </c>
      <c r="C2483" s="388">
        <v>46174</v>
      </c>
      <c r="D2483" s="495" t="s">
        <v>248</v>
      </c>
      <c r="E2483" s="484" t="s">
        <v>597</v>
      </c>
      <c r="F2483" s="485">
        <v>32.94</v>
      </c>
      <c r="G2483" s="486" t="s">
        <v>3830</v>
      </c>
      <c r="H2483" s="462" t="s">
        <v>278</v>
      </c>
      <c r="I2483" s="484" t="s">
        <v>881</v>
      </c>
      <c r="J2483" s="487" t="s">
        <v>773</v>
      </c>
      <c r="K2483" s="183"/>
      <c r="L2483" s="183"/>
      <c r="M2483" s="484" t="s">
        <v>710</v>
      </c>
      <c r="N2483" s="487">
        <v>327228</v>
      </c>
      <c r="O2483" s="487" t="s">
        <v>3506</v>
      </c>
      <c r="P2483" s="484" t="s">
        <v>735</v>
      </c>
      <c r="Q2483" s="458"/>
      <c r="R2483" s="459"/>
    </row>
    <row r="2484" spans="1:18" ht="24">
      <c r="A2484" s="493"/>
      <c r="B2484" s="387">
        <v>46203</v>
      </c>
      <c r="C2484" s="388">
        <v>46143</v>
      </c>
      <c r="D2484" s="484" t="s">
        <v>166</v>
      </c>
      <c r="E2484" s="39" t="s">
        <v>10</v>
      </c>
      <c r="F2484" s="498">
        <v>49874.75</v>
      </c>
      <c r="G2484" s="486" t="s">
        <v>3831</v>
      </c>
      <c r="H2484" s="389" t="s">
        <v>166</v>
      </c>
      <c r="I2484" s="484" t="s">
        <v>647</v>
      </c>
      <c r="J2484" s="487" t="s">
        <v>648</v>
      </c>
      <c r="K2484" s="183"/>
      <c r="L2484" s="183"/>
      <c r="M2484" s="484" t="s">
        <v>718</v>
      </c>
      <c r="N2484" s="487">
        <v>62026</v>
      </c>
      <c r="O2484" s="487" t="s">
        <v>2546</v>
      </c>
      <c r="P2484" s="484" t="s">
        <v>1557</v>
      </c>
      <c r="Q2484" s="458"/>
      <c r="R2484" s="459"/>
    </row>
    <row r="2485" spans="1:18" ht="24">
      <c r="A2485" s="493"/>
      <c r="B2485" s="387">
        <v>46203</v>
      </c>
      <c r="C2485" s="388">
        <v>46143</v>
      </c>
      <c r="D2485" s="484" t="s">
        <v>166</v>
      </c>
      <c r="E2485" s="39" t="s">
        <v>10</v>
      </c>
      <c r="F2485" s="498">
        <v>14232.02</v>
      </c>
      <c r="G2485" s="486" t="s">
        <v>3832</v>
      </c>
      <c r="H2485" s="389" t="s">
        <v>166</v>
      </c>
      <c r="I2485" s="484" t="s">
        <v>647</v>
      </c>
      <c r="J2485" s="487" t="s">
        <v>648</v>
      </c>
      <c r="K2485" s="183"/>
      <c r="L2485" s="183"/>
      <c r="M2485" s="484" t="s">
        <v>718</v>
      </c>
      <c r="N2485" s="487">
        <v>62026</v>
      </c>
      <c r="O2485" s="487" t="s">
        <v>2546</v>
      </c>
      <c r="P2485" s="484" t="s">
        <v>1557</v>
      </c>
      <c r="Q2485" s="458"/>
      <c r="R2485" s="459"/>
    </row>
    <row r="2486" spans="1:18" ht="24">
      <c r="A2486" s="493"/>
      <c r="B2486" s="387">
        <v>46203</v>
      </c>
      <c r="C2486" s="388">
        <v>46174</v>
      </c>
      <c r="D2486" s="484" t="s">
        <v>166</v>
      </c>
      <c r="E2486" s="484" t="s">
        <v>584</v>
      </c>
      <c r="F2486" s="462">
        <v>-14.25</v>
      </c>
      <c r="G2486" s="486" t="s">
        <v>3833</v>
      </c>
      <c r="H2486" s="389" t="s">
        <v>166</v>
      </c>
      <c r="I2486" s="484" t="s">
        <v>1475</v>
      </c>
      <c r="J2486" s="487" t="s">
        <v>1476</v>
      </c>
      <c r="K2486" s="183"/>
      <c r="L2486" s="183"/>
      <c r="M2486" s="484" t="s">
        <v>710</v>
      </c>
      <c r="N2486" s="487">
        <v>62026</v>
      </c>
      <c r="O2486" s="487" t="s">
        <v>3485</v>
      </c>
      <c r="P2486" s="484" t="s">
        <v>735</v>
      </c>
      <c r="Q2486" s="458"/>
      <c r="R2486" s="459"/>
    </row>
    <row r="2487" spans="1:18" ht="24">
      <c r="A2487" s="493"/>
      <c r="B2487" s="387">
        <v>46203</v>
      </c>
      <c r="C2487" s="388">
        <v>46174</v>
      </c>
      <c r="D2487" s="39" t="s">
        <v>353</v>
      </c>
      <c r="E2487" s="39" t="s">
        <v>336</v>
      </c>
      <c r="F2487" s="485">
        <v>5209.33</v>
      </c>
      <c r="G2487" s="486" t="s">
        <v>3834</v>
      </c>
      <c r="H2487" s="389" t="s">
        <v>280</v>
      </c>
      <c r="I2487" s="484" t="s">
        <v>690</v>
      </c>
      <c r="J2487" s="487" t="s">
        <v>691</v>
      </c>
      <c r="K2487" s="183"/>
      <c r="L2487" s="183"/>
      <c r="M2487" s="484" t="s">
        <v>734</v>
      </c>
      <c r="N2487" s="487">
        <v>62026</v>
      </c>
      <c r="O2487" s="487" t="s">
        <v>3485</v>
      </c>
      <c r="P2487" s="484" t="s">
        <v>1558</v>
      </c>
      <c r="Q2487" s="458"/>
      <c r="R2487" s="459"/>
    </row>
    <row r="2488" spans="1:18" ht="24">
      <c r="A2488" s="493"/>
      <c r="B2488" s="387">
        <v>46203</v>
      </c>
      <c r="C2488" s="388">
        <v>46174</v>
      </c>
      <c r="D2488" s="39" t="s">
        <v>353</v>
      </c>
      <c r="E2488" s="39" t="s">
        <v>336</v>
      </c>
      <c r="F2488" s="485">
        <v>63455.34</v>
      </c>
      <c r="G2488" s="486" t="s">
        <v>3834</v>
      </c>
      <c r="H2488" s="389" t="s">
        <v>280</v>
      </c>
      <c r="I2488" s="484" t="s">
        <v>690</v>
      </c>
      <c r="J2488" s="487" t="s">
        <v>691</v>
      </c>
      <c r="K2488" s="183"/>
      <c r="L2488" s="183"/>
      <c r="M2488" s="484" t="s">
        <v>734</v>
      </c>
      <c r="N2488" s="487">
        <v>62026</v>
      </c>
      <c r="O2488" s="487" t="s">
        <v>3485</v>
      </c>
      <c r="P2488" s="484" t="s">
        <v>1559</v>
      </c>
      <c r="Q2488" s="458"/>
      <c r="R2488" s="459"/>
    </row>
    <row r="2489" spans="1:18" ht="36">
      <c r="A2489" s="493"/>
      <c r="B2489" s="387">
        <v>46203</v>
      </c>
      <c r="C2489" s="388">
        <v>46174</v>
      </c>
      <c r="D2489" s="484" t="s">
        <v>339</v>
      </c>
      <c r="E2489" s="484" t="s">
        <v>339</v>
      </c>
      <c r="F2489" s="485">
        <v>4432.92</v>
      </c>
      <c r="G2489" s="486" t="s">
        <v>3834</v>
      </c>
      <c r="H2489" s="389" t="s">
        <v>280</v>
      </c>
      <c r="I2489" s="484" t="s">
        <v>690</v>
      </c>
      <c r="J2489" s="487" t="s">
        <v>691</v>
      </c>
      <c r="K2489" s="183"/>
      <c r="L2489" s="183"/>
      <c r="M2489" s="484" t="s">
        <v>728</v>
      </c>
      <c r="N2489" s="487">
        <v>62026</v>
      </c>
      <c r="O2489" s="487" t="s">
        <v>3485</v>
      </c>
      <c r="P2489" s="484" t="s">
        <v>1560</v>
      </c>
      <c r="Q2489" s="458"/>
      <c r="R2489" s="459"/>
    </row>
    <row r="2490" spans="1:18" ht="36">
      <c r="A2490" s="493"/>
      <c r="B2490" s="387">
        <v>46203</v>
      </c>
      <c r="C2490" s="388">
        <v>46174</v>
      </c>
      <c r="D2490" s="484" t="s">
        <v>339</v>
      </c>
      <c r="E2490" s="484" t="s">
        <v>339</v>
      </c>
      <c r="F2490" s="462">
        <v>-1184.1099999999999</v>
      </c>
      <c r="G2490" s="486" t="s">
        <v>3835</v>
      </c>
      <c r="H2490" s="389" t="s">
        <v>280</v>
      </c>
      <c r="I2490" s="484" t="s">
        <v>690</v>
      </c>
      <c r="J2490" s="487" t="s">
        <v>691</v>
      </c>
      <c r="K2490" s="183"/>
      <c r="L2490" s="183"/>
      <c r="M2490" s="484" t="s">
        <v>730</v>
      </c>
      <c r="N2490" s="487">
        <v>62026</v>
      </c>
      <c r="O2490" s="487" t="s">
        <v>3485</v>
      </c>
      <c r="P2490" s="484" t="s">
        <v>1561</v>
      </c>
      <c r="Q2490" s="458"/>
      <c r="R2490" s="459"/>
    </row>
    <row r="2491" spans="1:18" ht="36">
      <c r="A2491" s="493"/>
      <c r="B2491" s="387">
        <v>46203</v>
      </c>
      <c r="C2491" s="388">
        <v>46174</v>
      </c>
      <c r="D2491" s="484" t="s">
        <v>339</v>
      </c>
      <c r="E2491" s="484" t="s">
        <v>339</v>
      </c>
      <c r="F2491" s="485">
        <v>10952.5</v>
      </c>
      <c r="G2491" s="486" t="s">
        <v>3834</v>
      </c>
      <c r="H2491" s="389" t="s">
        <v>280</v>
      </c>
      <c r="I2491" s="484" t="s">
        <v>690</v>
      </c>
      <c r="J2491" s="487" t="s">
        <v>691</v>
      </c>
      <c r="K2491" s="183"/>
      <c r="L2491" s="183"/>
      <c r="M2491" s="484" t="s">
        <v>729</v>
      </c>
      <c r="N2491" s="487">
        <v>62026</v>
      </c>
      <c r="O2491" s="487" t="s">
        <v>3485</v>
      </c>
      <c r="P2491" s="484" t="s">
        <v>1561</v>
      </c>
      <c r="Q2491" s="458"/>
      <c r="R2491" s="459"/>
    </row>
    <row r="2492" spans="1:18" ht="48">
      <c r="A2492" s="493"/>
      <c r="B2492" s="387">
        <v>46203</v>
      </c>
      <c r="C2492" s="388">
        <v>46174</v>
      </c>
      <c r="D2492" s="39" t="s">
        <v>353</v>
      </c>
      <c r="E2492" s="39" t="s">
        <v>336</v>
      </c>
      <c r="F2492" s="485">
        <v>159.52000000000001</v>
      </c>
      <c r="G2492" s="486" t="s">
        <v>3834</v>
      </c>
      <c r="H2492" s="389" t="s">
        <v>280</v>
      </c>
      <c r="I2492" s="484" t="s">
        <v>690</v>
      </c>
      <c r="J2492" s="487" t="s">
        <v>691</v>
      </c>
      <c r="K2492" s="183"/>
      <c r="L2492" s="183"/>
      <c r="M2492" s="484" t="s">
        <v>732</v>
      </c>
      <c r="N2492" s="487">
        <v>62026</v>
      </c>
      <c r="O2492" s="487" t="s">
        <v>3485</v>
      </c>
      <c r="P2492" s="484" t="s">
        <v>1562</v>
      </c>
      <c r="Q2492" s="458"/>
      <c r="R2492" s="459"/>
    </row>
    <row r="2493" spans="1:18" ht="48">
      <c r="A2493" s="493"/>
      <c r="B2493" s="387">
        <v>46203</v>
      </c>
      <c r="C2493" s="388">
        <v>46174</v>
      </c>
      <c r="D2493" s="39" t="s">
        <v>353</v>
      </c>
      <c r="E2493" s="39" t="s">
        <v>336</v>
      </c>
      <c r="F2493" s="485">
        <v>12095.85</v>
      </c>
      <c r="G2493" s="486" t="s">
        <v>3834</v>
      </c>
      <c r="H2493" s="389" t="s">
        <v>280</v>
      </c>
      <c r="I2493" s="484" t="s">
        <v>690</v>
      </c>
      <c r="J2493" s="487" t="s">
        <v>691</v>
      </c>
      <c r="K2493" s="183"/>
      <c r="L2493" s="183"/>
      <c r="M2493" s="484" t="s">
        <v>732</v>
      </c>
      <c r="N2493" s="487">
        <v>62026</v>
      </c>
      <c r="O2493" s="487" t="s">
        <v>3485</v>
      </c>
      <c r="P2493" s="484" t="s">
        <v>1563</v>
      </c>
      <c r="Q2493" s="458"/>
      <c r="R2493" s="459"/>
    </row>
    <row r="2494" spans="1:18" ht="48">
      <c r="A2494" s="493"/>
      <c r="B2494" s="387">
        <v>46203</v>
      </c>
      <c r="C2494" s="388">
        <v>46174</v>
      </c>
      <c r="D2494" s="39" t="s">
        <v>353</v>
      </c>
      <c r="E2494" s="39" t="s">
        <v>336</v>
      </c>
      <c r="F2494" s="462">
        <v>-291.75</v>
      </c>
      <c r="G2494" s="486" t="s">
        <v>3835</v>
      </c>
      <c r="H2494" s="389" t="s">
        <v>280</v>
      </c>
      <c r="I2494" s="484" t="s">
        <v>690</v>
      </c>
      <c r="J2494" s="487" t="s">
        <v>691</v>
      </c>
      <c r="K2494" s="183"/>
      <c r="L2494" s="183"/>
      <c r="M2494" s="484" t="s">
        <v>730</v>
      </c>
      <c r="N2494" s="487">
        <v>62026</v>
      </c>
      <c r="O2494" s="487" t="s">
        <v>3485</v>
      </c>
      <c r="P2494" s="484" t="s">
        <v>1563</v>
      </c>
      <c r="Q2494" s="458"/>
      <c r="R2494" s="459"/>
    </row>
    <row r="2495" spans="1:18" ht="24">
      <c r="A2495" s="493"/>
      <c r="B2495" s="387">
        <v>46203</v>
      </c>
      <c r="C2495" s="388">
        <v>46174</v>
      </c>
      <c r="D2495" s="39" t="s">
        <v>353</v>
      </c>
      <c r="E2495" s="39" t="s">
        <v>336</v>
      </c>
      <c r="F2495" s="485">
        <v>29861.53</v>
      </c>
      <c r="G2495" s="486" t="s">
        <v>3836</v>
      </c>
      <c r="H2495" s="389" t="s">
        <v>280</v>
      </c>
      <c r="I2495" s="484" t="s">
        <v>771</v>
      </c>
      <c r="J2495" s="487" t="s">
        <v>772</v>
      </c>
      <c r="K2495" s="183"/>
      <c r="L2495" s="183"/>
      <c r="M2495" s="484" t="s">
        <v>733</v>
      </c>
      <c r="N2495" s="487">
        <v>62026</v>
      </c>
      <c r="O2495" s="487" t="s">
        <v>3485</v>
      </c>
      <c r="P2495" s="484" t="s">
        <v>1564</v>
      </c>
      <c r="Q2495" s="458"/>
      <c r="R2495" s="459"/>
    </row>
    <row r="2496" spans="1:18" ht="24">
      <c r="A2496" s="493"/>
      <c r="B2496" s="387">
        <v>46203</v>
      </c>
      <c r="C2496" s="388">
        <v>46174</v>
      </c>
      <c r="D2496" s="39" t="s">
        <v>353</v>
      </c>
      <c r="E2496" s="39" t="s">
        <v>336</v>
      </c>
      <c r="F2496" s="462">
        <v>-1393.49</v>
      </c>
      <c r="G2496" s="486" t="s">
        <v>3837</v>
      </c>
      <c r="H2496" s="389" t="s">
        <v>280</v>
      </c>
      <c r="I2496" s="484" t="s">
        <v>771</v>
      </c>
      <c r="J2496" s="487" t="s">
        <v>772</v>
      </c>
      <c r="K2496" s="183"/>
      <c r="L2496" s="183"/>
      <c r="M2496" s="484" t="s">
        <v>731</v>
      </c>
      <c r="N2496" s="487">
        <v>62026</v>
      </c>
      <c r="O2496" s="487" t="s">
        <v>3485</v>
      </c>
      <c r="P2496" s="484" t="s">
        <v>1564</v>
      </c>
      <c r="Q2496" s="458"/>
      <c r="R2496" s="459"/>
    </row>
    <row r="2497" spans="1:18">
      <c r="A2497" s="493"/>
      <c r="B2497" s="494"/>
      <c r="C2497" s="461"/>
      <c r="D2497" s="458"/>
      <c r="E2497" s="182"/>
      <c r="F2497" s="183"/>
      <c r="G2497" s="183"/>
      <c r="H2497" s="496"/>
      <c r="I2497" s="183"/>
      <c r="J2497" s="183"/>
      <c r="K2497" s="183"/>
      <c r="L2497" s="183"/>
      <c r="M2497" s="459"/>
      <c r="N2497" s="353"/>
      <c r="O2497" s="353"/>
      <c r="P2497" s="353"/>
      <c r="Q2497" s="458"/>
      <c r="R2497" s="459"/>
    </row>
    <row r="2498" spans="1:18">
      <c r="A2498" s="493"/>
      <c r="B2498" s="494"/>
      <c r="C2498" s="461"/>
      <c r="D2498" s="458"/>
      <c r="E2498" s="182"/>
      <c r="F2498" s="183"/>
      <c r="G2498" s="183"/>
      <c r="H2498" s="496"/>
      <c r="I2498" s="183"/>
      <c r="J2498" s="183"/>
      <c r="K2498" s="183"/>
      <c r="L2498" s="183"/>
      <c r="M2498" s="459"/>
      <c r="N2498" s="353"/>
      <c r="O2498" s="353"/>
      <c r="P2498" s="353"/>
      <c r="Q2498" s="458"/>
      <c r="R2498" s="459"/>
    </row>
    <row r="2499" spans="1:18">
      <c r="A2499" s="493"/>
      <c r="B2499" s="494"/>
      <c r="C2499" s="461"/>
      <c r="D2499" s="458"/>
      <c r="E2499" s="182"/>
      <c r="F2499" s="183"/>
      <c r="G2499" s="183"/>
      <c r="H2499" s="496"/>
      <c r="I2499" s="183"/>
      <c r="J2499" s="183"/>
      <c r="K2499" s="183"/>
      <c r="L2499" s="183"/>
      <c r="M2499" s="459"/>
      <c r="N2499" s="353"/>
      <c r="O2499" s="353"/>
      <c r="P2499" s="353"/>
      <c r="Q2499" s="458"/>
      <c r="R2499" s="459"/>
    </row>
    <row r="2500" spans="1:18">
      <c r="A2500" s="493"/>
      <c r="B2500" s="494"/>
      <c r="C2500" s="461"/>
      <c r="D2500" s="458"/>
      <c r="E2500" s="182"/>
      <c r="F2500" s="183"/>
      <c r="G2500" s="183"/>
      <c r="H2500" s="496"/>
      <c r="I2500" s="183"/>
      <c r="J2500" s="183"/>
      <c r="K2500" s="183"/>
      <c r="L2500" s="183"/>
      <c r="M2500" s="459"/>
      <c r="N2500" s="353"/>
      <c r="O2500" s="353"/>
      <c r="P2500" s="353"/>
      <c r="Q2500" s="458"/>
      <c r="R2500" s="459"/>
    </row>
    <row r="2501" spans="1:18">
      <c r="A2501" s="440"/>
      <c r="B2501" s="460"/>
      <c r="C2501" s="461"/>
      <c r="D2501" s="458"/>
      <c r="E2501" s="182"/>
      <c r="F2501" s="183"/>
      <c r="G2501" s="183"/>
      <c r="H2501" s="496"/>
      <c r="I2501" s="183"/>
      <c r="J2501" s="183"/>
      <c r="K2501" s="183"/>
      <c r="L2501" s="183"/>
      <c r="M2501" s="459"/>
      <c r="N2501" s="353"/>
      <c r="O2501" s="353"/>
      <c r="P2501" s="353"/>
      <c r="Q2501" s="458"/>
      <c r="R2501" s="459"/>
    </row>
    <row r="2502" spans="1:18">
      <c r="A2502" s="440"/>
      <c r="B2502" s="460"/>
      <c r="C2502" s="461"/>
      <c r="D2502" s="458"/>
      <c r="E2502" s="182"/>
      <c r="F2502" s="183"/>
      <c r="G2502" s="183"/>
      <c r="H2502" s="496"/>
      <c r="I2502" s="183"/>
      <c r="J2502" s="183"/>
      <c r="K2502" s="183"/>
      <c r="L2502" s="183"/>
      <c r="M2502" s="459"/>
      <c r="N2502" s="353"/>
      <c r="O2502" s="353"/>
      <c r="P2502" s="353"/>
      <c r="Q2502" s="458"/>
      <c r="R2502" s="459"/>
    </row>
    <row r="2503" spans="1:18">
      <c r="A2503" s="440"/>
      <c r="B2503" s="460"/>
      <c r="C2503" s="461"/>
      <c r="D2503" s="458"/>
      <c r="E2503" s="182"/>
      <c r="F2503" s="183"/>
      <c r="G2503" s="183"/>
      <c r="H2503" s="496"/>
      <c r="I2503" s="183"/>
      <c r="J2503" s="183"/>
      <c r="K2503" s="183"/>
      <c r="L2503" s="183"/>
      <c r="M2503" s="459"/>
      <c r="N2503" s="353"/>
      <c r="O2503" s="353"/>
      <c r="P2503" s="353"/>
      <c r="Q2503" s="458"/>
      <c r="R2503" s="459"/>
    </row>
    <row r="2504" spans="1:18">
      <c r="A2504" s="440"/>
      <c r="B2504" s="460"/>
      <c r="C2504" s="461"/>
      <c r="D2504" s="458"/>
      <c r="E2504" s="182"/>
      <c r="F2504" s="183"/>
      <c r="G2504" s="183"/>
      <c r="H2504" s="496"/>
      <c r="I2504" s="183"/>
      <c r="J2504" s="183"/>
      <c r="K2504" s="183"/>
      <c r="L2504" s="183"/>
      <c r="M2504" s="459"/>
      <c r="N2504" s="353"/>
      <c r="O2504" s="353"/>
      <c r="P2504" s="353"/>
      <c r="Q2504" s="458"/>
      <c r="R2504" s="459"/>
    </row>
    <row r="2505" spans="1:18">
      <c r="A2505" s="440"/>
      <c r="B2505" s="460"/>
      <c r="C2505" s="461"/>
      <c r="D2505" s="458"/>
      <c r="E2505" s="182"/>
      <c r="F2505" s="183"/>
      <c r="G2505" s="183"/>
      <c r="H2505" s="496"/>
      <c r="I2505" s="183"/>
      <c r="J2505" s="183"/>
      <c r="K2505" s="183"/>
      <c r="L2505" s="183"/>
      <c r="M2505" s="459"/>
      <c r="N2505" s="353"/>
      <c r="O2505" s="353"/>
      <c r="P2505" s="353"/>
      <c r="Q2505" s="458"/>
      <c r="R2505" s="459"/>
    </row>
    <row r="2506" spans="1:18">
      <c r="A2506" s="440"/>
      <c r="B2506" s="460"/>
      <c r="C2506" s="461"/>
      <c r="D2506" s="458"/>
      <c r="E2506" s="182"/>
      <c r="F2506" s="183"/>
      <c r="G2506" s="183"/>
      <c r="H2506" s="496"/>
      <c r="I2506" s="183"/>
      <c r="J2506" s="183"/>
      <c r="K2506" s="183"/>
      <c r="L2506" s="183"/>
      <c r="M2506" s="459"/>
      <c r="N2506" s="353"/>
      <c r="O2506" s="353"/>
      <c r="P2506" s="353"/>
      <c r="Q2506" s="458"/>
      <c r="R2506" s="459"/>
    </row>
    <row r="2507" spans="1:18">
      <c r="A2507" s="440"/>
      <c r="B2507" s="460"/>
      <c r="C2507" s="461"/>
      <c r="D2507" s="458"/>
      <c r="E2507" s="182"/>
      <c r="F2507" s="183"/>
      <c r="G2507" s="183"/>
      <c r="H2507" s="496"/>
      <c r="I2507" s="183"/>
      <c r="J2507" s="183"/>
      <c r="K2507" s="183"/>
      <c r="L2507" s="183"/>
      <c r="M2507" s="459"/>
      <c r="N2507" s="353"/>
      <c r="O2507" s="353"/>
      <c r="P2507" s="353"/>
      <c r="Q2507" s="458"/>
      <c r="R2507" s="459"/>
    </row>
    <row r="2508" spans="1:18">
      <c r="A2508" s="440"/>
      <c r="B2508" s="460"/>
      <c r="C2508" s="461"/>
      <c r="D2508" s="458"/>
      <c r="E2508" s="182"/>
      <c r="F2508" s="183"/>
      <c r="G2508" s="183"/>
      <c r="H2508" s="496"/>
      <c r="I2508" s="183"/>
      <c r="J2508" s="183"/>
      <c r="K2508" s="183"/>
      <c r="L2508" s="183"/>
      <c r="M2508" s="459"/>
      <c r="N2508" s="353"/>
      <c r="O2508" s="353"/>
      <c r="P2508" s="353"/>
      <c r="Q2508" s="458"/>
      <c r="R2508" s="459"/>
    </row>
    <row r="2509" spans="1:18">
      <c r="A2509" s="440"/>
      <c r="B2509" s="460"/>
      <c r="C2509" s="461"/>
      <c r="D2509" s="458"/>
      <c r="E2509" s="182"/>
      <c r="F2509" s="183"/>
      <c r="G2509" s="183"/>
      <c r="H2509" s="496"/>
      <c r="I2509" s="183"/>
      <c r="J2509" s="183"/>
      <c r="K2509" s="183"/>
      <c r="L2509" s="183"/>
      <c r="M2509" s="459"/>
      <c r="N2509" s="353"/>
      <c r="O2509" s="353"/>
      <c r="P2509" s="353"/>
      <c r="Q2509" s="458"/>
      <c r="R2509" s="459"/>
    </row>
    <row r="2510" spans="1:18">
      <c r="A2510" s="440"/>
      <c r="B2510" s="460"/>
      <c r="C2510" s="461"/>
      <c r="D2510" s="458"/>
      <c r="E2510" s="182"/>
      <c r="F2510" s="183"/>
      <c r="G2510" s="183"/>
      <c r="H2510" s="496"/>
      <c r="I2510" s="183"/>
      <c r="J2510" s="183"/>
      <c r="K2510" s="183"/>
      <c r="L2510" s="183"/>
      <c r="M2510" s="459"/>
      <c r="N2510" s="353"/>
      <c r="O2510" s="353"/>
      <c r="P2510" s="353"/>
      <c r="Q2510" s="458"/>
      <c r="R2510" s="459"/>
    </row>
    <row r="2511" spans="1:18">
      <c r="A2511" s="440"/>
      <c r="B2511" s="460"/>
      <c r="C2511" s="461"/>
      <c r="D2511" s="458"/>
      <c r="E2511" s="182"/>
      <c r="F2511" s="183"/>
      <c r="G2511" s="183"/>
      <c r="H2511" s="496"/>
      <c r="I2511" s="183"/>
      <c r="J2511" s="183"/>
      <c r="K2511" s="183"/>
      <c r="L2511" s="183"/>
      <c r="M2511" s="459"/>
      <c r="N2511" s="353"/>
      <c r="O2511" s="353"/>
      <c r="P2511" s="353"/>
      <c r="Q2511" s="458"/>
      <c r="R2511" s="459"/>
    </row>
    <row r="2512" spans="1:18">
      <c r="A2512" s="440"/>
      <c r="B2512" s="460"/>
      <c r="C2512" s="461"/>
      <c r="D2512" s="458"/>
      <c r="E2512" s="182"/>
      <c r="F2512" s="183"/>
      <c r="G2512" s="183"/>
      <c r="H2512" s="496"/>
      <c r="I2512" s="183"/>
      <c r="J2512" s="183"/>
      <c r="K2512" s="183"/>
      <c r="L2512" s="183"/>
      <c r="M2512" s="459"/>
      <c r="N2512" s="353"/>
      <c r="O2512" s="353"/>
      <c r="P2512" s="353"/>
      <c r="Q2512" s="458"/>
      <c r="R2512" s="459"/>
    </row>
    <row r="2513" spans="1:18">
      <c r="A2513" s="440"/>
      <c r="B2513" s="460"/>
      <c r="C2513" s="461"/>
      <c r="D2513" s="458"/>
      <c r="E2513" s="182"/>
      <c r="F2513" s="183"/>
      <c r="G2513" s="183"/>
      <c r="H2513" s="496"/>
      <c r="I2513" s="183"/>
      <c r="J2513" s="183"/>
      <c r="K2513" s="183"/>
      <c r="L2513" s="183"/>
      <c r="M2513" s="459"/>
      <c r="N2513" s="353"/>
      <c r="O2513" s="353"/>
      <c r="P2513" s="353"/>
      <c r="Q2513" s="458"/>
      <c r="R2513" s="459"/>
    </row>
    <row r="2514" spans="1:18">
      <c r="A2514" s="440"/>
      <c r="B2514" s="460"/>
      <c r="C2514" s="461"/>
      <c r="D2514" s="458"/>
      <c r="E2514" s="182"/>
      <c r="F2514" s="183"/>
      <c r="G2514" s="183"/>
      <c r="H2514" s="496"/>
      <c r="I2514" s="183"/>
      <c r="J2514" s="183"/>
      <c r="K2514" s="183"/>
      <c r="L2514" s="183"/>
      <c r="M2514" s="459"/>
      <c r="N2514" s="353"/>
      <c r="O2514" s="353"/>
      <c r="P2514" s="353"/>
      <c r="Q2514" s="458"/>
      <c r="R2514" s="459"/>
    </row>
    <row r="2515" spans="1:18">
      <c r="A2515" s="440"/>
      <c r="B2515" s="460"/>
      <c r="C2515" s="461"/>
      <c r="D2515" s="458"/>
      <c r="E2515" s="182"/>
      <c r="F2515" s="183"/>
      <c r="G2515" s="183"/>
      <c r="H2515" s="496"/>
      <c r="I2515" s="183"/>
      <c r="J2515" s="183"/>
      <c r="K2515" s="183"/>
      <c r="L2515" s="183"/>
      <c r="M2515" s="459"/>
      <c r="N2515" s="353"/>
      <c r="O2515" s="353"/>
      <c r="P2515" s="353"/>
      <c r="Q2515" s="458"/>
      <c r="R2515" s="459"/>
    </row>
    <row r="2516" spans="1:18">
      <c r="A2516" s="440"/>
      <c r="B2516" s="460"/>
      <c r="C2516" s="461"/>
      <c r="D2516" s="458"/>
      <c r="E2516" s="182"/>
      <c r="F2516" s="183"/>
      <c r="G2516" s="183"/>
      <c r="H2516" s="496"/>
      <c r="I2516" s="183"/>
      <c r="J2516" s="183"/>
      <c r="K2516" s="183"/>
      <c r="L2516" s="183"/>
      <c r="M2516" s="459"/>
      <c r="N2516" s="353"/>
      <c r="O2516" s="353"/>
      <c r="P2516" s="353"/>
      <c r="Q2516" s="458"/>
      <c r="R2516" s="459"/>
    </row>
    <row r="2517" spans="1:18">
      <c r="A2517" s="440"/>
      <c r="B2517" s="460"/>
      <c r="C2517" s="461"/>
      <c r="D2517" s="458"/>
      <c r="E2517" s="182"/>
      <c r="F2517" s="183"/>
      <c r="G2517" s="183"/>
      <c r="H2517" s="496"/>
      <c r="I2517" s="183"/>
      <c r="J2517" s="183"/>
      <c r="K2517" s="183"/>
      <c r="L2517" s="183"/>
      <c r="M2517" s="459"/>
      <c r="N2517" s="353"/>
      <c r="O2517" s="353"/>
      <c r="P2517" s="353"/>
      <c r="Q2517" s="458"/>
      <c r="R2517" s="459"/>
    </row>
    <row r="2518" spans="1:18">
      <c r="A2518" s="440"/>
      <c r="B2518" s="460"/>
      <c r="C2518" s="461"/>
      <c r="D2518" s="458"/>
      <c r="E2518" s="182"/>
      <c r="F2518" s="183"/>
      <c r="G2518" s="183"/>
      <c r="H2518" s="496"/>
      <c r="I2518" s="183"/>
      <c r="J2518" s="183"/>
      <c r="K2518" s="183"/>
      <c r="L2518" s="183"/>
      <c r="M2518" s="459"/>
      <c r="N2518" s="353"/>
      <c r="O2518" s="353"/>
      <c r="P2518" s="353"/>
      <c r="Q2518" s="458"/>
      <c r="R2518" s="459"/>
    </row>
    <row r="2519" spans="1:18">
      <c r="A2519" s="440"/>
      <c r="B2519" s="460"/>
      <c r="C2519" s="461"/>
      <c r="D2519" s="458"/>
      <c r="E2519" s="182"/>
      <c r="F2519" s="183"/>
      <c r="G2519" s="183"/>
      <c r="H2519" s="496"/>
      <c r="I2519" s="183"/>
      <c r="J2519" s="183"/>
      <c r="K2519" s="183"/>
      <c r="L2519" s="183"/>
      <c r="M2519" s="459"/>
      <c r="N2519" s="353"/>
      <c r="O2519" s="353"/>
      <c r="P2519" s="353"/>
      <c r="Q2519" s="458"/>
      <c r="R2519" s="459"/>
    </row>
    <row r="2520" spans="1:18">
      <c r="A2520" s="440"/>
      <c r="B2520" s="460"/>
      <c r="C2520" s="461"/>
      <c r="D2520" s="458"/>
      <c r="E2520" s="182"/>
      <c r="F2520" s="183"/>
      <c r="G2520" s="183"/>
      <c r="H2520" s="496"/>
      <c r="I2520" s="183"/>
      <c r="J2520" s="183"/>
      <c r="K2520" s="183"/>
      <c r="L2520" s="183"/>
      <c r="M2520" s="459"/>
      <c r="N2520" s="353"/>
      <c r="O2520" s="353"/>
      <c r="P2520" s="353"/>
      <c r="Q2520" s="458"/>
      <c r="R2520" s="459"/>
    </row>
    <row r="2521" spans="1:18">
      <c r="A2521" s="440"/>
      <c r="B2521" s="460"/>
      <c r="C2521" s="461"/>
      <c r="D2521" s="458"/>
      <c r="E2521" s="182"/>
      <c r="F2521" s="183"/>
      <c r="G2521" s="183"/>
      <c r="H2521" s="496"/>
      <c r="I2521" s="183"/>
      <c r="J2521" s="183"/>
      <c r="K2521" s="183"/>
      <c r="L2521" s="183"/>
      <c r="M2521" s="459"/>
      <c r="N2521" s="353"/>
      <c r="O2521" s="353"/>
      <c r="P2521" s="353"/>
      <c r="Q2521" s="458"/>
      <c r="R2521" s="459"/>
    </row>
    <row r="2522" spans="1:18">
      <c r="A2522" s="440"/>
      <c r="B2522" s="460"/>
      <c r="C2522" s="461"/>
      <c r="D2522" s="458"/>
      <c r="E2522" s="182"/>
      <c r="F2522" s="183"/>
      <c r="G2522" s="183"/>
      <c r="H2522" s="496"/>
      <c r="I2522" s="183"/>
      <c r="J2522" s="183"/>
      <c r="K2522" s="183"/>
      <c r="L2522" s="183"/>
      <c r="M2522" s="459"/>
      <c r="N2522" s="353"/>
      <c r="O2522" s="353"/>
      <c r="P2522" s="353"/>
      <c r="Q2522" s="458"/>
      <c r="R2522" s="459"/>
    </row>
    <row r="2523" spans="1:18">
      <c r="A2523" s="440"/>
      <c r="B2523" s="460"/>
      <c r="C2523" s="461"/>
      <c r="D2523" s="458"/>
      <c r="E2523" s="182"/>
      <c r="F2523" s="183"/>
      <c r="G2523" s="183"/>
      <c r="H2523" s="496"/>
      <c r="I2523" s="183"/>
      <c r="J2523" s="183"/>
      <c r="K2523" s="183"/>
      <c r="L2523" s="183"/>
      <c r="M2523" s="459"/>
      <c r="N2523" s="353"/>
      <c r="O2523" s="353"/>
      <c r="P2523" s="353"/>
      <c r="Q2523" s="458"/>
      <c r="R2523" s="459"/>
    </row>
    <row r="2524" spans="1:18">
      <c r="A2524" s="440"/>
      <c r="B2524" s="460"/>
      <c r="C2524" s="461"/>
      <c r="D2524" s="458"/>
      <c r="E2524" s="182"/>
      <c r="F2524" s="183"/>
      <c r="G2524" s="183"/>
      <c r="H2524" s="496"/>
      <c r="I2524" s="183"/>
      <c r="J2524" s="183"/>
      <c r="K2524" s="183"/>
      <c r="L2524" s="183"/>
      <c r="M2524" s="459"/>
      <c r="N2524" s="353"/>
      <c r="O2524" s="353"/>
      <c r="P2524" s="353"/>
      <c r="Q2524" s="458"/>
      <c r="R2524" s="459"/>
    </row>
    <row r="2525" spans="1:18">
      <c r="A2525" s="440"/>
      <c r="B2525" s="460"/>
      <c r="C2525" s="461"/>
      <c r="D2525" s="458"/>
      <c r="E2525" s="182"/>
      <c r="F2525" s="183"/>
      <c r="G2525" s="183"/>
      <c r="H2525" s="496"/>
      <c r="I2525" s="183"/>
      <c r="J2525" s="183"/>
      <c r="K2525" s="183"/>
      <c r="L2525" s="183"/>
      <c r="M2525" s="459"/>
      <c r="N2525" s="353"/>
      <c r="O2525" s="353"/>
      <c r="P2525" s="353"/>
      <c r="Q2525" s="458"/>
      <c r="R2525" s="459"/>
    </row>
    <row r="2526" spans="1:18">
      <c r="A2526" s="440"/>
      <c r="B2526" s="460"/>
      <c r="C2526" s="461"/>
      <c r="D2526" s="458"/>
      <c r="E2526" s="182"/>
      <c r="F2526" s="183"/>
      <c r="G2526" s="183"/>
      <c r="H2526" s="496"/>
      <c r="I2526" s="183"/>
      <c r="J2526" s="183"/>
      <c r="K2526" s="183"/>
      <c r="L2526" s="183"/>
      <c r="M2526" s="459"/>
      <c r="N2526" s="353"/>
      <c r="O2526" s="353"/>
      <c r="P2526" s="353"/>
      <c r="Q2526" s="458"/>
      <c r="R2526" s="459"/>
    </row>
    <row r="2527" spans="1:18">
      <c r="A2527" s="440"/>
      <c r="B2527" s="460"/>
      <c r="C2527" s="461"/>
      <c r="D2527" s="458"/>
      <c r="E2527" s="182"/>
      <c r="F2527" s="183"/>
      <c r="G2527" s="183"/>
      <c r="H2527" s="496"/>
      <c r="I2527" s="183"/>
      <c r="J2527" s="183"/>
      <c r="K2527" s="183"/>
      <c r="L2527" s="183"/>
      <c r="M2527" s="459"/>
      <c r="N2527" s="353"/>
      <c r="O2527" s="353"/>
      <c r="P2527" s="353"/>
      <c r="Q2527" s="458"/>
      <c r="R2527" s="459"/>
    </row>
    <row r="2528" spans="1:18">
      <c r="A2528" s="440"/>
      <c r="B2528" s="460"/>
      <c r="C2528" s="461"/>
      <c r="D2528" s="458"/>
      <c r="E2528" s="182"/>
      <c r="F2528" s="183"/>
      <c r="G2528" s="183"/>
      <c r="H2528" s="496"/>
      <c r="I2528" s="183"/>
      <c r="J2528" s="183"/>
      <c r="K2528" s="183"/>
      <c r="L2528" s="183"/>
      <c r="M2528" s="459"/>
      <c r="N2528" s="353"/>
      <c r="O2528" s="353"/>
      <c r="P2528" s="353"/>
      <c r="Q2528" s="458"/>
      <c r="R2528" s="459"/>
    </row>
    <row r="2529" spans="1:18">
      <c r="A2529" s="440"/>
      <c r="B2529" s="460"/>
      <c r="C2529" s="461"/>
      <c r="D2529" s="458"/>
      <c r="E2529" s="182"/>
      <c r="F2529" s="183"/>
      <c r="G2529" s="183"/>
      <c r="H2529" s="496"/>
      <c r="I2529" s="183"/>
      <c r="J2529" s="183"/>
      <c r="K2529" s="183"/>
      <c r="L2529" s="183"/>
      <c r="M2529" s="459"/>
      <c r="N2529" s="353"/>
      <c r="O2529" s="353"/>
      <c r="P2529" s="353"/>
      <c r="Q2529" s="458"/>
      <c r="R2529" s="459"/>
    </row>
    <row r="2530" spans="1:18">
      <c r="A2530" s="440"/>
      <c r="B2530" s="460"/>
      <c r="C2530" s="461"/>
      <c r="D2530" s="458"/>
      <c r="E2530" s="182"/>
      <c r="F2530" s="183"/>
      <c r="G2530" s="183"/>
      <c r="H2530" s="496"/>
      <c r="I2530" s="183"/>
      <c r="J2530" s="183"/>
      <c r="K2530" s="183"/>
      <c r="L2530" s="183"/>
      <c r="M2530" s="459"/>
      <c r="N2530" s="353"/>
      <c r="O2530" s="353"/>
      <c r="P2530" s="353"/>
      <c r="Q2530" s="458"/>
      <c r="R2530" s="459"/>
    </row>
    <row r="2531" spans="1:18">
      <c r="A2531" s="440"/>
      <c r="B2531" s="460"/>
      <c r="C2531" s="461"/>
      <c r="D2531" s="458"/>
      <c r="E2531" s="182"/>
      <c r="F2531" s="183"/>
      <c r="G2531" s="183"/>
      <c r="H2531" s="496"/>
      <c r="I2531" s="183"/>
      <c r="J2531" s="183"/>
      <c r="K2531" s="183"/>
      <c r="L2531" s="183"/>
      <c r="M2531" s="459"/>
      <c r="N2531" s="353"/>
      <c r="O2531" s="353"/>
      <c r="P2531" s="353"/>
      <c r="Q2531" s="458"/>
      <c r="R2531" s="459"/>
    </row>
    <row r="2532" spans="1:18">
      <c r="A2532" s="440"/>
      <c r="B2532" s="460"/>
      <c r="C2532" s="461"/>
      <c r="D2532" s="458"/>
      <c r="E2532" s="182"/>
      <c r="F2532" s="183"/>
      <c r="G2532" s="183"/>
      <c r="H2532" s="496"/>
      <c r="I2532" s="183"/>
      <c r="J2532" s="183"/>
      <c r="K2532" s="183"/>
      <c r="L2532" s="183"/>
      <c r="M2532" s="459"/>
      <c r="N2532" s="353"/>
      <c r="O2532" s="353"/>
      <c r="P2532" s="353"/>
      <c r="Q2532" s="458"/>
      <c r="R2532" s="459"/>
    </row>
    <row r="2533" spans="1:18">
      <c r="A2533" s="440"/>
      <c r="B2533" s="460"/>
      <c r="C2533" s="461"/>
      <c r="D2533" s="458"/>
      <c r="E2533" s="182"/>
      <c r="F2533" s="183"/>
      <c r="G2533" s="183"/>
      <c r="H2533" s="496"/>
      <c r="I2533" s="183"/>
      <c r="J2533" s="183"/>
      <c r="K2533" s="183"/>
      <c r="L2533" s="183"/>
      <c r="M2533" s="459"/>
      <c r="N2533" s="353"/>
      <c r="O2533" s="353"/>
      <c r="P2533" s="353"/>
      <c r="Q2533" s="458"/>
      <c r="R2533" s="459"/>
    </row>
    <row r="2534" spans="1:18">
      <c r="A2534" s="440"/>
      <c r="B2534" s="460"/>
      <c r="C2534" s="461"/>
      <c r="D2534" s="458"/>
      <c r="E2534" s="182"/>
      <c r="F2534" s="183"/>
      <c r="G2534" s="183"/>
      <c r="H2534" s="496"/>
      <c r="I2534" s="183"/>
      <c r="J2534" s="183"/>
      <c r="K2534" s="183"/>
      <c r="L2534" s="183"/>
      <c r="M2534" s="459"/>
      <c r="N2534" s="353"/>
      <c r="O2534" s="353"/>
      <c r="P2534" s="353"/>
      <c r="Q2534" s="458"/>
      <c r="R2534" s="459"/>
    </row>
    <row r="2535" spans="1:18">
      <c r="A2535" s="440"/>
      <c r="B2535" s="460"/>
      <c r="C2535" s="461"/>
      <c r="D2535" s="458"/>
      <c r="E2535" s="182"/>
      <c r="F2535" s="183"/>
      <c r="G2535" s="183"/>
      <c r="H2535" s="496"/>
      <c r="I2535" s="183"/>
      <c r="J2535" s="183"/>
      <c r="K2535" s="183"/>
      <c r="L2535" s="183"/>
      <c r="M2535" s="459"/>
      <c r="N2535" s="353"/>
      <c r="O2535" s="353"/>
      <c r="P2535" s="353"/>
      <c r="Q2535" s="458"/>
      <c r="R2535" s="459"/>
    </row>
    <row r="2536" spans="1:18">
      <c r="A2536" s="440"/>
      <c r="B2536" s="460"/>
      <c r="C2536" s="461"/>
      <c r="D2536" s="458"/>
      <c r="E2536" s="182"/>
      <c r="F2536" s="183"/>
      <c r="G2536" s="183"/>
      <c r="H2536" s="496"/>
      <c r="I2536" s="183"/>
      <c r="J2536" s="183"/>
      <c r="K2536" s="183"/>
      <c r="L2536" s="183"/>
      <c r="M2536" s="459"/>
      <c r="N2536" s="353"/>
      <c r="O2536" s="353"/>
      <c r="P2536" s="353"/>
      <c r="Q2536" s="458"/>
      <c r="R2536" s="459"/>
    </row>
    <row r="2537" spans="1:18">
      <c r="A2537" s="440"/>
      <c r="B2537" s="460"/>
      <c r="C2537" s="461"/>
      <c r="D2537" s="458"/>
      <c r="E2537" s="182"/>
      <c r="F2537" s="183"/>
      <c r="G2537" s="183"/>
      <c r="H2537" s="496"/>
      <c r="I2537" s="183"/>
      <c r="J2537" s="183"/>
      <c r="K2537" s="183"/>
      <c r="L2537" s="183"/>
      <c r="M2537" s="459"/>
      <c r="N2537" s="353"/>
      <c r="O2537" s="353"/>
      <c r="P2537" s="353"/>
      <c r="Q2537" s="458"/>
      <c r="R2537" s="459"/>
    </row>
    <row r="2538" spans="1:18">
      <c r="A2538" s="440"/>
      <c r="B2538" s="460"/>
      <c r="C2538" s="461"/>
      <c r="D2538" s="458"/>
      <c r="E2538" s="182"/>
      <c r="F2538" s="183"/>
      <c r="G2538" s="183"/>
      <c r="H2538" s="496"/>
      <c r="I2538" s="183"/>
      <c r="J2538" s="183"/>
      <c r="K2538" s="183"/>
      <c r="L2538" s="183"/>
      <c r="M2538" s="459"/>
      <c r="N2538" s="353"/>
      <c r="O2538" s="353"/>
      <c r="P2538" s="353"/>
      <c r="Q2538" s="458"/>
      <c r="R2538" s="459"/>
    </row>
    <row r="2539" spans="1:18">
      <c r="A2539" s="440"/>
      <c r="B2539" s="460"/>
      <c r="C2539" s="461"/>
      <c r="D2539" s="458"/>
      <c r="E2539" s="182"/>
      <c r="F2539" s="183"/>
      <c r="G2539" s="183"/>
      <c r="H2539" s="496"/>
      <c r="I2539" s="183"/>
      <c r="J2539" s="183"/>
      <c r="K2539" s="183"/>
      <c r="L2539" s="183"/>
      <c r="M2539" s="459"/>
      <c r="N2539" s="353"/>
      <c r="O2539" s="353"/>
      <c r="P2539" s="353"/>
      <c r="Q2539" s="458"/>
      <c r="R2539" s="459"/>
    </row>
    <row r="2540" spans="1:18">
      <c r="A2540" s="440"/>
      <c r="B2540" s="460"/>
      <c r="C2540" s="461"/>
      <c r="D2540" s="458"/>
      <c r="E2540" s="182"/>
      <c r="F2540" s="183"/>
      <c r="G2540" s="183"/>
      <c r="H2540" s="496"/>
      <c r="I2540" s="183"/>
      <c r="J2540" s="183"/>
      <c r="K2540" s="183"/>
      <c r="L2540" s="183"/>
      <c r="M2540" s="459"/>
      <c r="N2540" s="353"/>
      <c r="O2540" s="353"/>
      <c r="P2540" s="353"/>
      <c r="Q2540" s="458"/>
      <c r="R2540" s="459"/>
    </row>
    <row r="2541" spans="1:18">
      <c r="A2541" s="440"/>
      <c r="B2541" s="460"/>
      <c r="C2541" s="461"/>
      <c r="D2541" s="458"/>
      <c r="E2541" s="182"/>
      <c r="F2541" s="183"/>
      <c r="G2541" s="183"/>
      <c r="H2541" s="496"/>
      <c r="I2541" s="183"/>
      <c r="J2541" s="183"/>
      <c r="K2541" s="183"/>
      <c r="L2541" s="183"/>
      <c r="M2541" s="459"/>
      <c r="N2541" s="353"/>
      <c r="O2541" s="353"/>
      <c r="P2541" s="353"/>
      <c r="Q2541" s="458"/>
      <c r="R2541" s="459"/>
    </row>
    <row r="2542" spans="1:18">
      <c r="A2542" s="440"/>
      <c r="B2542" s="460"/>
      <c r="C2542" s="461"/>
      <c r="D2542" s="458"/>
      <c r="E2542" s="182"/>
      <c r="F2542" s="183"/>
      <c r="G2542" s="183"/>
      <c r="H2542" s="496"/>
      <c r="I2542" s="183"/>
      <c r="J2542" s="183"/>
      <c r="K2542" s="183"/>
      <c r="L2542" s="183"/>
      <c r="M2542" s="459"/>
      <c r="N2542" s="353"/>
      <c r="O2542" s="353"/>
      <c r="P2542" s="353"/>
      <c r="Q2542" s="458"/>
      <c r="R2542" s="459"/>
    </row>
    <row r="2543" spans="1:18">
      <c r="A2543" s="440"/>
      <c r="B2543" s="460"/>
      <c r="C2543" s="461"/>
      <c r="D2543" s="458"/>
      <c r="E2543" s="182"/>
      <c r="F2543" s="183"/>
      <c r="G2543" s="183"/>
      <c r="H2543" s="496"/>
      <c r="I2543" s="183"/>
      <c r="J2543" s="183"/>
      <c r="K2543" s="183"/>
      <c r="L2543" s="183"/>
      <c r="M2543" s="459"/>
      <c r="N2543" s="353"/>
      <c r="O2543" s="353"/>
      <c r="P2543" s="353"/>
      <c r="Q2543" s="458"/>
      <c r="R2543" s="459"/>
    </row>
    <row r="2544" spans="1:18">
      <c r="A2544" s="440"/>
      <c r="B2544" s="460"/>
      <c r="C2544" s="461"/>
      <c r="D2544" s="458"/>
      <c r="E2544" s="182"/>
      <c r="F2544" s="183"/>
      <c r="G2544" s="183"/>
      <c r="H2544" s="496"/>
      <c r="I2544" s="183"/>
      <c r="J2544" s="183"/>
      <c r="K2544" s="183"/>
      <c r="L2544" s="183"/>
      <c r="M2544" s="459"/>
      <c r="N2544" s="353"/>
      <c r="O2544" s="353"/>
      <c r="P2544" s="353"/>
      <c r="Q2544" s="458"/>
      <c r="R2544" s="459"/>
    </row>
    <row r="2545" spans="1:18">
      <c r="A2545" s="440"/>
      <c r="B2545" s="460"/>
      <c r="C2545" s="461"/>
      <c r="D2545" s="458"/>
      <c r="E2545" s="182"/>
      <c r="F2545" s="183"/>
      <c r="G2545" s="183"/>
      <c r="H2545" s="496"/>
      <c r="I2545" s="183"/>
      <c r="J2545" s="183"/>
      <c r="K2545" s="183"/>
      <c r="L2545" s="183"/>
      <c r="M2545" s="459"/>
      <c r="N2545" s="353"/>
      <c r="O2545" s="353"/>
      <c r="P2545" s="353"/>
      <c r="Q2545" s="458"/>
      <c r="R2545" s="459"/>
    </row>
    <row r="2546" spans="1:18">
      <c r="A2546" s="440"/>
      <c r="B2546" s="460"/>
      <c r="C2546" s="461"/>
      <c r="D2546" s="458"/>
      <c r="E2546" s="182"/>
      <c r="F2546" s="183"/>
      <c r="G2546" s="183"/>
      <c r="H2546" s="496"/>
      <c r="I2546" s="183"/>
      <c r="J2546" s="183"/>
      <c r="K2546" s="183"/>
      <c r="L2546" s="183"/>
      <c r="M2546" s="459"/>
      <c r="N2546" s="353"/>
      <c r="O2546" s="353"/>
      <c r="P2546" s="353"/>
      <c r="Q2546" s="458"/>
      <c r="R2546" s="459"/>
    </row>
    <row r="2547" spans="1:18">
      <c r="A2547" s="440"/>
      <c r="B2547" s="460"/>
      <c r="C2547" s="461"/>
      <c r="D2547" s="458"/>
      <c r="E2547" s="182"/>
      <c r="F2547" s="183"/>
      <c r="G2547" s="183"/>
      <c r="H2547" s="496"/>
      <c r="I2547" s="183"/>
      <c r="J2547" s="183"/>
      <c r="K2547" s="183"/>
      <c r="L2547" s="183"/>
      <c r="M2547" s="459"/>
      <c r="N2547" s="353"/>
      <c r="O2547" s="353"/>
      <c r="P2547" s="353"/>
      <c r="Q2547" s="458"/>
      <c r="R2547" s="459"/>
    </row>
    <row r="2548" spans="1:18">
      <c r="A2548" s="440"/>
      <c r="B2548" s="460"/>
      <c r="C2548" s="461"/>
      <c r="D2548" s="458"/>
      <c r="E2548" s="182"/>
      <c r="F2548" s="183"/>
      <c r="G2548" s="183"/>
      <c r="H2548" s="496"/>
      <c r="I2548" s="183"/>
      <c r="J2548" s="183"/>
      <c r="K2548" s="183"/>
      <c r="L2548" s="183"/>
      <c r="M2548" s="459"/>
      <c r="N2548" s="353"/>
      <c r="O2548" s="353"/>
      <c r="P2548" s="353"/>
      <c r="Q2548" s="458"/>
      <c r="R2548" s="459"/>
    </row>
    <row r="2549" spans="1:18">
      <c r="A2549" s="440"/>
      <c r="B2549" s="460"/>
      <c r="C2549" s="461"/>
      <c r="D2549" s="458"/>
      <c r="E2549" s="182"/>
      <c r="F2549" s="183"/>
      <c r="G2549" s="183"/>
      <c r="H2549" s="496"/>
      <c r="I2549" s="183"/>
      <c r="J2549" s="183"/>
      <c r="K2549" s="183"/>
      <c r="L2549" s="183"/>
      <c r="M2549" s="459"/>
      <c r="N2549" s="353"/>
      <c r="O2549" s="353"/>
      <c r="P2549" s="353"/>
      <c r="Q2549" s="458"/>
      <c r="R2549" s="459"/>
    </row>
    <row r="2550" spans="1:18">
      <c r="A2550" s="440"/>
      <c r="B2550" s="460"/>
      <c r="C2550" s="461"/>
      <c r="D2550" s="458"/>
      <c r="E2550" s="182"/>
      <c r="F2550" s="183"/>
      <c r="G2550" s="183"/>
      <c r="H2550" s="496"/>
      <c r="I2550" s="183"/>
      <c r="J2550" s="183"/>
      <c r="K2550" s="183"/>
      <c r="L2550" s="183"/>
      <c r="M2550" s="459"/>
      <c r="N2550" s="353"/>
      <c r="O2550" s="353"/>
      <c r="P2550" s="353"/>
      <c r="Q2550" s="458"/>
      <c r="R2550" s="459"/>
    </row>
    <row r="2551" spans="1:18">
      <c r="A2551" s="440"/>
      <c r="B2551" s="460"/>
      <c r="C2551" s="461"/>
      <c r="D2551" s="458"/>
      <c r="E2551" s="182"/>
      <c r="F2551" s="183"/>
      <c r="G2551" s="183"/>
      <c r="H2551" s="496"/>
      <c r="I2551" s="183"/>
      <c r="J2551" s="183"/>
      <c r="K2551" s="183"/>
      <c r="L2551" s="183"/>
      <c r="M2551" s="459"/>
      <c r="N2551" s="353"/>
      <c r="O2551" s="353"/>
      <c r="P2551" s="353"/>
      <c r="Q2551" s="458"/>
      <c r="R2551" s="459"/>
    </row>
    <row r="2552" spans="1:18">
      <c r="A2552" s="440"/>
      <c r="B2552" s="460"/>
      <c r="C2552" s="461"/>
      <c r="D2552" s="458"/>
      <c r="E2552" s="182"/>
      <c r="F2552" s="183"/>
      <c r="G2552" s="183"/>
      <c r="H2552" s="496"/>
      <c r="I2552" s="183"/>
      <c r="J2552" s="183"/>
      <c r="K2552" s="183"/>
      <c r="L2552" s="183"/>
      <c r="M2552" s="459"/>
      <c r="N2552" s="353"/>
      <c r="O2552" s="353"/>
      <c r="P2552" s="353"/>
      <c r="Q2552" s="458"/>
      <c r="R2552" s="459"/>
    </row>
    <row r="2553" spans="1:18">
      <c r="A2553" s="440"/>
      <c r="B2553" s="460"/>
      <c r="C2553" s="461"/>
      <c r="D2553" s="458"/>
      <c r="E2553" s="182"/>
      <c r="F2553" s="183"/>
      <c r="G2553" s="183"/>
      <c r="H2553" s="496"/>
      <c r="I2553" s="183"/>
      <c r="J2553" s="183"/>
      <c r="K2553" s="183"/>
      <c r="L2553" s="183"/>
      <c r="M2553" s="459"/>
      <c r="N2553" s="353"/>
      <c r="O2553" s="353"/>
      <c r="P2553" s="353"/>
      <c r="Q2553" s="458"/>
      <c r="R2553" s="459"/>
    </row>
    <row r="2554" spans="1:18">
      <c r="A2554" s="440"/>
      <c r="B2554" s="460"/>
      <c r="C2554" s="461"/>
      <c r="D2554" s="458"/>
      <c r="E2554" s="182"/>
      <c r="F2554" s="183"/>
      <c r="G2554" s="183"/>
      <c r="H2554" s="496"/>
      <c r="I2554" s="183"/>
      <c r="J2554" s="183"/>
      <c r="K2554" s="183"/>
      <c r="L2554" s="183"/>
      <c r="M2554" s="459"/>
      <c r="N2554" s="353"/>
      <c r="O2554" s="353"/>
      <c r="P2554" s="353"/>
      <c r="Q2554" s="458"/>
      <c r="R2554" s="459"/>
    </row>
    <row r="2555" spans="1:18">
      <c r="A2555" s="440"/>
      <c r="B2555" s="460"/>
      <c r="C2555" s="461"/>
      <c r="D2555" s="458"/>
      <c r="E2555" s="182"/>
      <c r="F2555" s="183"/>
      <c r="G2555" s="183"/>
      <c r="H2555" s="496"/>
      <c r="I2555" s="183"/>
      <c r="J2555" s="183"/>
      <c r="K2555" s="183"/>
      <c r="L2555" s="183"/>
      <c r="M2555" s="459"/>
      <c r="N2555" s="353"/>
      <c r="O2555" s="353"/>
      <c r="P2555" s="353"/>
      <c r="Q2555" s="458"/>
      <c r="R2555" s="459"/>
    </row>
    <row r="2556" spans="1:18">
      <c r="A2556" s="440"/>
      <c r="B2556" s="460"/>
      <c r="C2556" s="461"/>
      <c r="D2556" s="458"/>
      <c r="E2556" s="182"/>
      <c r="F2556" s="183"/>
      <c r="G2556" s="183"/>
      <c r="H2556" s="496"/>
      <c r="I2556" s="183"/>
      <c r="J2556" s="183"/>
      <c r="K2556" s="183"/>
      <c r="L2556" s="183"/>
      <c r="M2556" s="459"/>
      <c r="N2556" s="353"/>
      <c r="O2556" s="353"/>
      <c r="P2556" s="353"/>
      <c r="Q2556" s="458"/>
      <c r="R2556" s="459"/>
    </row>
    <row r="2557" spans="1:18">
      <c r="A2557" s="440"/>
      <c r="B2557" s="460"/>
      <c r="C2557" s="461"/>
      <c r="D2557" s="458"/>
      <c r="E2557" s="182"/>
      <c r="F2557" s="183"/>
      <c r="G2557" s="183"/>
      <c r="H2557" s="496"/>
      <c r="I2557" s="183"/>
      <c r="J2557" s="183"/>
      <c r="K2557" s="183"/>
      <c r="L2557" s="183"/>
      <c r="M2557" s="459"/>
      <c r="N2557" s="353"/>
      <c r="O2557" s="353"/>
      <c r="P2557" s="353"/>
      <c r="Q2557" s="458"/>
      <c r="R2557" s="459"/>
    </row>
    <row r="2558" spans="1:18">
      <c r="A2558" s="440"/>
      <c r="B2558" s="460"/>
      <c r="C2558" s="461"/>
      <c r="D2558" s="458"/>
      <c r="E2558" s="182"/>
      <c r="F2558" s="183"/>
      <c r="G2558" s="183"/>
      <c r="H2558" s="496"/>
      <c r="I2558" s="183"/>
      <c r="J2558" s="183"/>
      <c r="K2558" s="183"/>
      <c r="L2558" s="183"/>
      <c r="M2558" s="459"/>
      <c r="N2558" s="353"/>
      <c r="O2558" s="353"/>
      <c r="P2558" s="353"/>
      <c r="Q2558" s="458"/>
      <c r="R2558" s="459"/>
    </row>
    <row r="2559" spans="1:18">
      <c r="A2559" s="440"/>
      <c r="B2559" s="460"/>
      <c r="C2559" s="461"/>
      <c r="D2559" s="458"/>
      <c r="E2559" s="182"/>
      <c r="F2559" s="183"/>
      <c r="G2559" s="183"/>
      <c r="H2559" s="496"/>
      <c r="I2559" s="183"/>
      <c r="J2559" s="183"/>
      <c r="K2559" s="183"/>
      <c r="L2559" s="183"/>
      <c r="M2559" s="459"/>
      <c r="N2559" s="353"/>
      <c r="O2559" s="353"/>
      <c r="P2559" s="353"/>
      <c r="Q2559" s="458"/>
      <c r="R2559" s="459"/>
    </row>
    <row r="2560" spans="1:18">
      <c r="A2560" s="440"/>
      <c r="B2560" s="460"/>
      <c r="C2560" s="461"/>
      <c r="D2560" s="458"/>
      <c r="E2560" s="182"/>
      <c r="F2560" s="183"/>
      <c r="G2560" s="183"/>
      <c r="H2560" s="496"/>
      <c r="I2560" s="183"/>
      <c r="J2560" s="183"/>
      <c r="K2560" s="183"/>
      <c r="L2560" s="183"/>
      <c r="M2560" s="459"/>
      <c r="N2560" s="353"/>
      <c r="O2560" s="353"/>
      <c r="P2560" s="353"/>
      <c r="Q2560" s="458"/>
      <c r="R2560" s="459"/>
    </row>
    <row r="2561" spans="1:18">
      <c r="A2561" s="440"/>
      <c r="B2561" s="460"/>
      <c r="C2561" s="461"/>
      <c r="D2561" s="458"/>
      <c r="E2561" s="182"/>
      <c r="F2561" s="183"/>
      <c r="G2561" s="183"/>
      <c r="H2561" s="496"/>
      <c r="I2561" s="183"/>
      <c r="J2561" s="183"/>
      <c r="K2561" s="183"/>
      <c r="L2561" s="183"/>
      <c r="M2561" s="459"/>
      <c r="N2561" s="353"/>
      <c r="O2561" s="353"/>
      <c r="P2561" s="353"/>
      <c r="Q2561" s="458"/>
      <c r="R2561" s="459"/>
    </row>
    <row r="2562" spans="1:18">
      <c r="A2562" s="440"/>
      <c r="B2562" s="460"/>
      <c r="C2562" s="461"/>
      <c r="D2562" s="458"/>
      <c r="E2562" s="182"/>
      <c r="F2562" s="183"/>
      <c r="G2562" s="183"/>
      <c r="H2562" s="496"/>
      <c r="I2562" s="183"/>
      <c r="J2562" s="183"/>
      <c r="K2562" s="183"/>
      <c r="L2562" s="183"/>
      <c r="M2562" s="459"/>
      <c r="N2562" s="353"/>
      <c r="O2562" s="353"/>
      <c r="P2562" s="353"/>
      <c r="Q2562" s="458"/>
      <c r="R2562" s="459"/>
    </row>
    <row r="2563" spans="1:18">
      <c r="A2563" s="440"/>
      <c r="B2563" s="460"/>
      <c r="C2563" s="461"/>
      <c r="D2563" s="458"/>
      <c r="E2563" s="182"/>
      <c r="F2563" s="183"/>
      <c r="G2563" s="183"/>
      <c r="H2563" s="496"/>
      <c r="I2563" s="183"/>
      <c r="J2563" s="183"/>
      <c r="K2563" s="183"/>
      <c r="L2563" s="183"/>
      <c r="M2563" s="459"/>
      <c r="N2563" s="353"/>
      <c r="O2563" s="353"/>
      <c r="P2563" s="353"/>
      <c r="Q2563" s="458"/>
      <c r="R2563" s="459"/>
    </row>
    <row r="2564" spans="1:18">
      <c r="A2564" s="440"/>
      <c r="B2564" s="460"/>
      <c r="C2564" s="461"/>
      <c r="D2564" s="458"/>
      <c r="E2564" s="182"/>
      <c r="F2564" s="183"/>
      <c r="G2564" s="183"/>
      <c r="H2564" s="496"/>
      <c r="I2564" s="183"/>
      <c r="J2564" s="183"/>
      <c r="K2564" s="183"/>
      <c r="L2564" s="183"/>
      <c r="M2564" s="459"/>
      <c r="N2564" s="353"/>
      <c r="O2564" s="353"/>
      <c r="P2564" s="353"/>
      <c r="Q2564" s="458"/>
      <c r="R2564" s="459"/>
    </row>
    <row r="2565" spans="1:18">
      <c r="A2565" s="440"/>
      <c r="B2565" s="460"/>
      <c r="C2565" s="461"/>
      <c r="D2565" s="458"/>
      <c r="E2565" s="182"/>
      <c r="F2565" s="183"/>
      <c r="G2565" s="183"/>
      <c r="H2565" s="496"/>
      <c r="I2565" s="183"/>
      <c r="J2565" s="183"/>
      <c r="K2565" s="183"/>
      <c r="L2565" s="183"/>
      <c r="M2565" s="459"/>
      <c r="N2565" s="353"/>
      <c r="O2565" s="353"/>
      <c r="P2565" s="353"/>
      <c r="Q2565" s="458"/>
      <c r="R2565" s="459"/>
    </row>
    <row r="2566" spans="1:18">
      <c r="A2566" s="440"/>
      <c r="B2566" s="460"/>
      <c r="C2566" s="461"/>
      <c r="D2566" s="458"/>
      <c r="E2566" s="182"/>
      <c r="F2566" s="183"/>
      <c r="G2566" s="183"/>
      <c r="H2566" s="496"/>
      <c r="I2566" s="183"/>
      <c r="J2566" s="183"/>
      <c r="K2566" s="183"/>
      <c r="L2566" s="183"/>
      <c r="M2566" s="459"/>
      <c r="N2566" s="353"/>
      <c r="O2566" s="353"/>
      <c r="P2566" s="353"/>
      <c r="Q2566" s="458"/>
      <c r="R2566" s="459"/>
    </row>
    <row r="2567" spans="1:18">
      <c r="A2567" s="440"/>
      <c r="B2567" s="460"/>
      <c r="C2567" s="461"/>
      <c r="D2567" s="458"/>
      <c r="E2567" s="182"/>
      <c r="F2567" s="183"/>
      <c r="G2567" s="183"/>
      <c r="H2567" s="496"/>
      <c r="I2567" s="183"/>
      <c r="J2567" s="183"/>
      <c r="K2567" s="183"/>
      <c r="L2567" s="183"/>
      <c r="M2567" s="459"/>
      <c r="N2567" s="353"/>
      <c r="O2567" s="353"/>
      <c r="P2567" s="353"/>
      <c r="Q2567" s="458"/>
      <c r="R2567" s="459"/>
    </row>
    <row r="2568" spans="1:18">
      <c r="A2568" s="440"/>
      <c r="B2568" s="460"/>
      <c r="C2568" s="461"/>
      <c r="D2568" s="458"/>
      <c r="E2568" s="182"/>
      <c r="F2568" s="183"/>
      <c r="G2568" s="183"/>
      <c r="H2568" s="496"/>
      <c r="I2568" s="183"/>
      <c r="J2568" s="183"/>
      <c r="K2568" s="183"/>
      <c r="L2568" s="183"/>
      <c r="M2568" s="459"/>
      <c r="N2568" s="353"/>
      <c r="O2568" s="353"/>
      <c r="P2568" s="353"/>
      <c r="Q2568" s="458"/>
      <c r="R2568" s="459"/>
    </row>
    <row r="2569" spans="1:18">
      <c r="A2569" s="440"/>
      <c r="B2569" s="460"/>
      <c r="C2569" s="461"/>
      <c r="D2569" s="458"/>
      <c r="E2569" s="182"/>
      <c r="F2569" s="183"/>
      <c r="G2569" s="183"/>
      <c r="H2569" s="496"/>
      <c r="I2569" s="183"/>
      <c r="J2569" s="183"/>
      <c r="K2569" s="183"/>
      <c r="L2569" s="183"/>
      <c r="M2569" s="459"/>
      <c r="N2569" s="353"/>
      <c r="O2569" s="353"/>
      <c r="P2569" s="353"/>
      <c r="Q2569" s="458"/>
      <c r="R2569" s="459"/>
    </row>
    <row r="2570" spans="1:18">
      <c r="A2570" s="440"/>
      <c r="B2570" s="460"/>
      <c r="C2570" s="461"/>
      <c r="D2570" s="458"/>
      <c r="E2570" s="182"/>
      <c r="F2570" s="183"/>
      <c r="G2570" s="183"/>
      <c r="H2570" s="496"/>
      <c r="I2570" s="183"/>
      <c r="J2570" s="183"/>
      <c r="K2570" s="183"/>
      <c r="L2570" s="183"/>
      <c r="M2570" s="459"/>
      <c r="N2570" s="353"/>
      <c r="O2570" s="353"/>
      <c r="P2570" s="353"/>
      <c r="Q2570" s="458"/>
      <c r="R2570" s="459"/>
    </row>
    <row r="2571" spans="1:18">
      <c r="A2571" s="440"/>
      <c r="B2571" s="460"/>
      <c r="C2571" s="461"/>
      <c r="D2571" s="458"/>
      <c r="E2571" s="182"/>
      <c r="F2571" s="183"/>
      <c r="G2571" s="183"/>
      <c r="H2571" s="496"/>
      <c r="I2571" s="183"/>
      <c r="J2571" s="183"/>
      <c r="K2571" s="183"/>
      <c r="L2571" s="183"/>
      <c r="M2571" s="459"/>
      <c r="N2571" s="353"/>
      <c r="O2571" s="353"/>
      <c r="P2571" s="353"/>
      <c r="Q2571" s="458"/>
      <c r="R2571" s="459"/>
    </row>
    <row r="2572" spans="1:18">
      <c r="A2572" s="440"/>
      <c r="B2572" s="460"/>
      <c r="C2572" s="461"/>
      <c r="D2572" s="458"/>
      <c r="E2572" s="182"/>
      <c r="F2572" s="183"/>
      <c r="G2572" s="183"/>
      <c r="H2572" s="496"/>
      <c r="I2572" s="183"/>
      <c r="J2572" s="183"/>
      <c r="K2572" s="183"/>
      <c r="L2572" s="183"/>
      <c r="M2572" s="459"/>
      <c r="N2572" s="353"/>
      <c r="O2572" s="353"/>
      <c r="P2572" s="353"/>
      <c r="Q2572" s="458"/>
      <c r="R2572" s="459"/>
    </row>
    <row r="2573" spans="1:18">
      <c r="A2573" s="440"/>
      <c r="B2573" s="460"/>
      <c r="C2573" s="461"/>
      <c r="D2573" s="458"/>
      <c r="E2573" s="182"/>
      <c r="F2573" s="183"/>
      <c r="G2573" s="183"/>
      <c r="H2573" s="496"/>
      <c r="I2573" s="183"/>
      <c r="J2573" s="183"/>
      <c r="K2573" s="183"/>
      <c r="L2573" s="183"/>
      <c r="M2573" s="459"/>
      <c r="N2573" s="353"/>
      <c r="O2573" s="353"/>
      <c r="P2573" s="353"/>
      <c r="Q2573" s="458"/>
      <c r="R2573" s="459"/>
    </row>
    <row r="2574" spans="1:18">
      <c r="A2574" s="440"/>
      <c r="B2574" s="460"/>
      <c r="C2574" s="461"/>
      <c r="D2574" s="458"/>
      <c r="E2574" s="182"/>
      <c r="F2574" s="183"/>
      <c r="G2574" s="183"/>
      <c r="H2574" s="496"/>
      <c r="I2574" s="183"/>
      <c r="J2574" s="183"/>
      <c r="K2574" s="183"/>
      <c r="L2574" s="183"/>
      <c r="M2574" s="459"/>
      <c r="N2574" s="353"/>
      <c r="O2574" s="353"/>
      <c r="P2574" s="353"/>
      <c r="Q2574" s="458"/>
      <c r="R2574" s="459"/>
    </row>
    <row r="2575" spans="1:18">
      <c r="A2575" s="440"/>
      <c r="B2575" s="460"/>
      <c r="C2575" s="461"/>
      <c r="D2575" s="458"/>
      <c r="E2575" s="182"/>
      <c r="F2575" s="183"/>
      <c r="G2575" s="183"/>
      <c r="H2575" s="496"/>
      <c r="I2575" s="183"/>
      <c r="J2575" s="183"/>
      <c r="K2575" s="183"/>
      <c r="L2575" s="183"/>
      <c r="M2575" s="459"/>
      <c r="N2575" s="353"/>
      <c r="O2575" s="353"/>
      <c r="P2575" s="353"/>
      <c r="Q2575" s="458"/>
      <c r="R2575" s="459"/>
    </row>
    <row r="2576" spans="1:18">
      <c r="A2576" s="440"/>
      <c r="B2576" s="460"/>
      <c r="C2576" s="461"/>
      <c r="D2576" s="458"/>
      <c r="E2576" s="182"/>
      <c r="F2576" s="183"/>
      <c r="G2576" s="183"/>
      <c r="H2576" s="496"/>
      <c r="I2576" s="183"/>
      <c r="J2576" s="183"/>
      <c r="K2576" s="183"/>
      <c r="L2576" s="183"/>
      <c r="M2576" s="459"/>
      <c r="N2576" s="353"/>
      <c r="O2576" s="353"/>
      <c r="P2576" s="353"/>
      <c r="Q2576" s="458"/>
      <c r="R2576" s="459"/>
    </row>
    <row r="2577" spans="1:18">
      <c r="A2577" s="440"/>
      <c r="B2577" s="460"/>
      <c r="C2577" s="461"/>
      <c r="D2577" s="458"/>
      <c r="E2577" s="182"/>
      <c r="F2577" s="183"/>
      <c r="G2577" s="183"/>
      <c r="H2577" s="496"/>
      <c r="I2577" s="183"/>
      <c r="J2577" s="183"/>
      <c r="K2577" s="183"/>
      <c r="L2577" s="183"/>
      <c r="M2577" s="459"/>
      <c r="N2577" s="353"/>
      <c r="O2577" s="353"/>
      <c r="P2577" s="353"/>
      <c r="Q2577" s="458"/>
      <c r="R2577" s="459"/>
    </row>
    <row r="2578" spans="1:18">
      <c r="A2578" s="440"/>
      <c r="B2578" s="460"/>
      <c r="C2578" s="461"/>
      <c r="D2578" s="458"/>
      <c r="E2578" s="182"/>
      <c r="F2578" s="183"/>
      <c r="G2578" s="183"/>
      <c r="H2578" s="496"/>
      <c r="I2578" s="183"/>
      <c r="J2578" s="183"/>
      <c r="K2578" s="183"/>
      <c r="L2578" s="183"/>
      <c r="M2578" s="459"/>
      <c r="N2578" s="353"/>
      <c r="O2578" s="353"/>
      <c r="P2578" s="353"/>
      <c r="Q2578" s="458"/>
      <c r="R2578" s="459"/>
    </row>
    <row r="2579" spans="1:18">
      <c r="A2579" s="440"/>
      <c r="B2579" s="460"/>
      <c r="C2579" s="461"/>
      <c r="D2579" s="458"/>
      <c r="E2579" s="182"/>
      <c r="F2579" s="183"/>
      <c r="G2579" s="183"/>
      <c r="H2579" s="496"/>
      <c r="I2579" s="183"/>
      <c r="J2579" s="183"/>
      <c r="K2579" s="183"/>
      <c r="L2579" s="183"/>
      <c r="M2579" s="459"/>
      <c r="N2579" s="353"/>
      <c r="O2579" s="353"/>
      <c r="P2579" s="353"/>
      <c r="Q2579" s="458"/>
      <c r="R2579" s="459"/>
    </row>
    <row r="2580" spans="1:18">
      <c r="A2580" s="440"/>
      <c r="B2580" s="460"/>
      <c r="C2580" s="461"/>
      <c r="D2580" s="458"/>
      <c r="E2580" s="182"/>
      <c r="F2580" s="183"/>
      <c r="G2580" s="183"/>
      <c r="H2580" s="496"/>
      <c r="I2580" s="183"/>
      <c r="J2580" s="183"/>
      <c r="K2580" s="183"/>
      <c r="L2580" s="183"/>
      <c r="M2580" s="459"/>
      <c r="N2580" s="353"/>
      <c r="O2580" s="353"/>
      <c r="P2580" s="353"/>
      <c r="Q2580" s="458"/>
      <c r="R2580" s="459"/>
    </row>
    <row r="2581" spans="1:18">
      <c r="A2581" s="440"/>
      <c r="B2581" s="460"/>
      <c r="C2581" s="461"/>
      <c r="D2581" s="458"/>
      <c r="E2581" s="182"/>
      <c r="F2581" s="183"/>
      <c r="G2581" s="183"/>
      <c r="H2581" s="496"/>
      <c r="I2581" s="183"/>
      <c r="J2581" s="183"/>
      <c r="K2581" s="183"/>
      <c r="L2581" s="183"/>
      <c r="M2581" s="459"/>
      <c r="N2581" s="353"/>
      <c r="O2581" s="353"/>
      <c r="P2581" s="353"/>
      <c r="Q2581" s="458"/>
      <c r="R2581" s="459"/>
    </row>
    <row r="2582" spans="1:18">
      <c r="A2582" s="440"/>
      <c r="B2582" s="460"/>
      <c r="C2582" s="461"/>
      <c r="D2582" s="458"/>
      <c r="E2582" s="182"/>
      <c r="F2582" s="183"/>
      <c r="G2582" s="183"/>
      <c r="H2582" s="496"/>
      <c r="I2582" s="183"/>
      <c r="J2582" s="183"/>
      <c r="K2582" s="183"/>
      <c r="L2582" s="183"/>
      <c r="M2582" s="459"/>
      <c r="N2582" s="353"/>
      <c r="O2582" s="353"/>
      <c r="P2582" s="353"/>
      <c r="Q2582" s="458"/>
      <c r="R2582" s="459"/>
    </row>
    <row r="2583" spans="1:18">
      <c r="A2583" s="440"/>
      <c r="B2583" s="460"/>
      <c r="C2583" s="461"/>
      <c r="D2583" s="458"/>
      <c r="E2583" s="182"/>
      <c r="F2583" s="183"/>
      <c r="G2583" s="183"/>
      <c r="H2583" s="496"/>
      <c r="I2583" s="183"/>
      <c r="J2583" s="183"/>
      <c r="K2583" s="183"/>
      <c r="L2583" s="183"/>
      <c r="M2583" s="459"/>
      <c r="N2583" s="353"/>
      <c r="O2583" s="353"/>
      <c r="P2583" s="353"/>
      <c r="Q2583" s="458"/>
      <c r="R2583" s="459"/>
    </row>
    <row r="2584" spans="1:18">
      <c r="A2584" s="440"/>
      <c r="B2584" s="460"/>
      <c r="C2584" s="461"/>
      <c r="D2584" s="458"/>
      <c r="E2584" s="182"/>
      <c r="F2584" s="183"/>
      <c r="G2584" s="183"/>
      <c r="H2584" s="496"/>
      <c r="I2584" s="183"/>
      <c r="J2584" s="183"/>
      <c r="K2584" s="183"/>
      <c r="L2584" s="183"/>
      <c r="M2584" s="459"/>
      <c r="N2584" s="353"/>
      <c r="O2584" s="353"/>
      <c r="P2584" s="353"/>
      <c r="Q2584" s="458"/>
      <c r="R2584" s="459"/>
    </row>
    <row r="2585" spans="1:18">
      <c r="A2585" s="440"/>
      <c r="B2585" s="460"/>
      <c r="C2585" s="461"/>
      <c r="D2585" s="458"/>
      <c r="E2585" s="182"/>
      <c r="F2585" s="183"/>
      <c r="G2585" s="183"/>
      <c r="H2585" s="496"/>
      <c r="I2585" s="183"/>
      <c r="J2585" s="183"/>
      <c r="K2585" s="183"/>
      <c r="L2585" s="183"/>
      <c r="M2585" s="459"/>
      <c r="N2585" s="353"/>
      <c r="O2585" s="353"/>
      <c r="P2585" s="353"/>
      <c r="Q2585" s="458"/>
      <c r="R2585" s="459"/>
    </row>
    <row r="2586" spans="1:18">
      <c r="A2586" s="440"/>
      <c r="B2586" s="460"/>
      <c r="C2586" s="461"/>
      <c r="D2586" s="458"/>
      <c r="E2586" s="182"/>
      <c r="F2586" s="183"/>
      <c r="G2586" s="183"/>
      <c r="H2586" s="496"/>
      <c r="I2586" s="183"/>
      <c r="J2586" s="183"/>
      <c r="K2586" s="183"/>
      <c r="L2586" s="183"/>
      <c r="M2586" s="459"/>
      <c r="N2586" s="353"/>
      <c r="O2586" s="353"/>
      <c r="P2586" s="353"/>
      <c r="Q2586" s="458"/>
      <c r="R2586" s="459"/>
    </row>
    <row r="2587" spans="1:18">
      <c r="A2587" s="440"/>
      <c r="B2587" s="460"/>
      <c r="C2587" s="461"/>
      <c r="D2587" s="458"/>
      <c r="E2587" s="182"/>
      <c r="F2587" s="183"/>
      <c r="G2587" s="183"/>
      <c r="H2587" s="496"/>
      <c r="I2587" s="183"/>
      <c r="J2587" s="183"/>
      <c r="K2587" s="183"/>
      <c r="L2587" s="183"/>
      <c r="M2587" s="459"/>
      <c r="N2587" s="353"/>
      <c r="O2587" s="353"/>
      <c r="P2587" s="353"/>
      <c r="Q2587" s="458"/>
      <c r="R2587" s="459"/>
    </row>
    <row r="2588" spans="1:18">
      <c r="A2588" s="440"/>
      <c r="B2588" s="460"/>
      <c r="C2588" s="461"/>
      <c r="D2588" s="458"/>
      <c r="E2588" s="182"/>
      <c r="F2588" s="183"/>
      <c r="G2588" s="183"/>
      <c r="H2588" s="496"/>
      <c r="I2588" s="183"/>
      <c r="J2588" s="183"/>
      <c r="K2588" s="183"/>
      <c r="L2588" s="183"/>
      <c r="M2588" s="459"/>
      <c r="N2588" s="353"/>
      <c r="O2588" s="353"/>
      <c r="P2588" s="353"/>
      <c r="Q2588" s="458"/>
      <c r="R2588" s="459"/>
    </row>
    <row r="2589" spans="1:18">
      <c r="A2589" s="440"/>
      <c r="B2589" s="460"/>
      <c r="C2589" s="461"/>
      <c r="D2589" s="458"/>
      <c r="E2589" s="182"/>
      <c r="F2589" s="183"/>
      <c r="G2589" s="183"/>
      <c r="H2589" s="496"/>
      <c r="I2589" s="183"/>
      <c r="J2589" s="183"/>
      <c r="K2589" s="183"/>
      <c r="L2589" s="183"/>
      <c r="M2589" s="459"/>
      <c r="N2589" s="353"/>
      <c r="O2589" s="353"/>
      <c r="P2589" s="353"/>
      <c r="Q2589" s="458"/>
      <c r="R2589" s="459"/>
    </row>
    <row r="2590" spans="1:18">
      <c r="A2590" s="440"/>
      <c r="B2590" s="460"/>
      <c r="C2590" s="461"/>
      <c r="D2590" s="458"/>
      <c r="E2590" s="182"/>
      <c r="F2590" s="183"/>
      <c r="G2590" s="183"/>
      <c r="H2590" s="496"/>
      <c r="I2590" s="183"/>
      <c r="J2590" s="183"/>
      <c r="K2590" s="183"/>
      <c r="L2590" s="183"/>
      <c r="M2590" s="459"/>
      <c r="N2590" s="353"/>
      <c r="O2590" s="353"/>
      <c r="P2590" s="353"/>
      <c r="Q2590" s="458"/>
      <c r="R2590" s="459"/>
    </row>
    <row r="2591" spans="1:18">
      <c r="A2591" s="440"/>
      <c r="B2591" s="460"/>
      <c r="C2591" s="461"/>
      <c r="D2591" s="458"/>
      <c r="E2591" s="182"/>
      <c r="F2591" s="183"/>
      <c r="G2591" s="183"/>
      <c r="H2591" s="496"/>
      <c r="I2591" s="183"/>
      <c r="J2591" s="183"/>
      <c r="K2591" s="183"/>
      <c r="L2591" s="183"/>
      <c r="M2591" s="459"/>
      <c r="N2591" s="353"/>
      <c r="O2591" s="353"/>
      <c r="P2591" s="353"/>
      <c r="Q2591" s="458"/>
      <c r="R2591" s="459"/>
    </row>
    <row r="2592" spans="1:18">
      <c r="A2592" s="440"/>
      <c r="B2592" s="460"/>
      <c r="C2592" s="461"/>
      <c r="D2592" s="458"/>
      <c r="E2592" s="182"/>
      <c r="F2592" s="183"/>
      <c r="G2592" s="183"/>
      <c r="H2592" s="496"/>
      <c r="I2592" s="183"/>
      <c r="J2592" s="183"/>
      <c r="K2592" s="183"/>
      <c r="L2592" s="183"/>
      <c r="M2592" s="459"/>
      <c r="N2592" s="353"/>
      <c r="O2592" s="353"/>
      <c r="P2592" s="353"/>
      <c r="Q2592" s="458"/>
      <c r="R2592" s="459"/>
    </row>
    <row r="2593" spans="1:18">
      <c r="A2593" s="440"/>
      <c r="B2593" s="460"/>
      <c r="C2593" s="461"/>
      <c r="D2593" s="458"/>
      <c r="E2593" s="182"/>
      <c r="F2593" s="183"/>
      <c r="G2593" s="183"/>
      <c r="H2593" s="496"/>
      <c r="I2593" s="183"/>
      <c r="J2593" s="183"/>
      <c r="K2593" s="183"/>
      <c r="L2593" s="183"/>
      <c r="M2593" s="459"/>
      <c r="N2593" s="353"/>
      <c r="O2593" s="353"/>
      <c r="P2593" s="353"/>
      <c r="Q2593" s="458"/>
      <c r="R2593" s="459"/>
    </row>
    <row r="2594" spans="1:18">
      <c r="A2594" s="440"/>
      <c r="B2594" s="460"/>
      <c r="C2594" s="461"/>
      <c r="D2594" s="458"/>
      <c r="E2594" s="182"/>
      <c r="F2594" s="183"/>
      <c r="G2594" s="183"/>
      <c r="H2594" s="496"/>
      <c r="I2594" s="183"/>
      <c r="J2594" s="183"/>
      <c r="K2594" s="183"/>
      <c r="L2594" s="183"/>
      <c r="M2594" s="459"/>
      <c r="N2594" s="353"/>
      <c r="O2594" s="353"/>
      <c r="P2594" s="353"/>
      <c r="Q2594" s="458"/>
      <c r="R2594" s="459"/>
    </row>
    <row r="2595" spans="1:18">
      <c r="A2595" s="440"/>
      <c r="B2595" s="460"/>
      <c r="C2595" s="461"/>
      <c r="D2595" s="458"/>
      <c r="E2595" s="182"/>
      <c r="F2595" s="183"/>
      <c r="G2595" s="183"/>
      <c r="H2595" s="496"/>
      <c r="I2595" s="183"/>
      <c r="J2595" s="183"/>
      <c r="K2595" s="183"/>
      <c r="L2595" s="183"/>
      <c r="M2595" s="459"/>
      <c r="N2595" s="353"/>
      <c r="O2595" s="353"/>
      <c r="P2595" s="353"/>
      <c r="Q2595" s="458"/>
      <c r="R2595" s="459"/>
    </row>
    <row r="2596" spans="1:18">
      <c r="A2596" s="440"/>
      <c r="B2596" s="460"/>
      <c r="C2596" s="461"/>
      <c r="D2596" s="458"/>
      <c r="E2596" s="182"/>
      <c r="F2596" s="183"/>
      <c r="G2596" s="183"/>
      <c r="H2596" s="496"/>
      <c r="I2596" s="183"/>
      <c r="J2596" s="183"/>
      <c r="K2596" s="183"/>
      <c r="L2596" s="183"/>
      <c r="M2596" s="459"/>
      <c r="N2596" s="353"/>
      <c r="O2596" s="353"/>
      <c r="P2596" s="353"/>
      <c r="Q2596" s="458"/>
      <c r="R2596" s="459"/>
    </row>
    <row r="2597" spans="1:18">
      <c r="A2597" s="440"/>
      <c r="B2597" s="460"/>
      <c r="C2597" s="461"/>
      <c r="D2597" s="458"/>
      <c r="E2597" s="182"/>
      <c r="F2597" s="183"/>
      <c r="G2597" s="183"/>
      <c r="H2597" s="496"/>
      <c r="I2597" s="183"/>
      <c r="J2597" s="183"/>
      <c r="K2597" s="183"/>
      <c r="L2597" s="183"/>
      <c r="M2597" s="459"/>
      <c r="N2597" s="353"/>
      <c r="O2597" s="353"/>
      <c r="P2597" s="353"/>
      <c r="Q2597" s="458"/>
      <c r="R2597" s="459"/>
    </row>
    <row r="2598" spans="1:18">
      <c r="A2598" s="440"/>
      <c r="B2598" s="460"/>
      <c r="C2598" s="461"/>
      <c r="D2598" s="458"/>
      <c r="E2598" s="182"/>
      <c r="F2598" s="183"/>
      <c r="G2598" s="183"/>
      <c r="H2598" s="496"/>
      <c r="I2598" s="183"/>
      <c r="J2598" s="183"/>
      <c r="K2598" s="183"/>
      <c r="L2598" s="183"/>
      <c r="M2598" s="459"/>
      <c r="N2598" s="353"/>
      <c r="O2598" s="353"/>
      <c r="P2598" s="353"/>
      <c r="Q2598" s="458"/>
      <c r="R2598" s="459"/>
    </row>
    <row r="2599" spans="1:18">
      <c r="A2599" s="440"/>
      <c r="B2599" s="460"/>
      <c r="C2599" s="461"/>
      <c r="D2599" s="458"/>
      <c r="E2599" s="182"/>
      <c r="F2599" s="183"/>
      <c r="G2599" s="183"/>
      <c r="H2599" s="496"/>
      <c r="I2599" s="183"/>
      <c r="J2599" s="183"/>
      <c r="K2599" s="183"/>
      <c r="L2599" s="183"/>
      <c r="M2599" s="459"/>
      <c r="N2599" s="353"/>
      <c r="O2599" s="353"/>
      <c r="P2599" s="353"/>
      <c r="Q2599" s="458"/>
      <c r="R2599" s="459"/>
    </row>
    <row r="2600" spans="1:18">
      <c r="A2600" s="440"/>
      <c r="B2600" s="460"/>
      <c r="C2600" s="461"/>
      <c r="D2600" s="458"/>
      <c r="E2600" s="182"/>
      <c r="F2600" s="183"/>
      <c r="G2600" s="183"/>
      <c r="H2600" s="496"/>
      <c r="I2600" s="183"/>
      <c r="J2600" s="183"/>
      <c r="K2600" s="183"/>
      <c r="L2600" s="183"/>
      <c r="M2600" s="459"/>
      <c r="N2600" s="353"/>
      <c r="O2600" s="353"/>
      <c r="P2600" s="353"/>
      <c r="Q2600" s="458"/>
      <c r="R2600" s="459"/>
    </row>
    <row r="2601" spans="1:18">
      <c r="A2601" s="440"/>
      <c r="B2601" s="460"/>
      <c r="C2601" s="461"/>
      <c r="D2601" s="458"/>
      <c r="E2601" s="182"/>
      <c r="F2601" s="183"/>
      <c r="G2601" s="183"/>
      <c r="H2601" s="496"/>
      <c r="I2601" s="183"/>
      <c r="J2601" s="183"/>
      <c r="K2601" s="183"/>
      <c r="L2601" s="183"/>
      <c r="M2601" s="459"/>
      <c r="N2601" s="353"/>
      <c r="O2601" s="353"/>
      <c r="P2601" s="353"/>
      <c r="Q2601" s="458"/>
      <c r="R2601" s="459"/>
    </row>
    <row r="2602" spans="1:18">
      <c r="A2602" s="440"/>
      <c r="B2602" s="460"/>
      <c r="C2602" s="461"/>
      <c r="D2602" s="458"/>
      <c r="E2602" s="182"/>
      <c r="F2602" s="183"/>
      <c r="G2602" s="183"/>
      <c r="H2602" s="496"/>
      <c r="I2602" s="183"/>
      <c r="J2602" s="183"/>
      <c r="K2602" s="183"/>
      <c r="L2602" s="183"/>
      <c r="M2602" s="459"/>
      <c r="N2602" s="353"/>
      <c r="O2602" s="353"/>
      <c r="P2602" s="353"/>
      <c r="Q2602" s="458"/>
      <c r="R2602" s="459"/>
    </row>
    <row r="2603" spans="1:18">
      <c r="A2603" s="440"/>
      <c r="B2603" s="460"/>
      <c r="C2603" s="461"/>
      <c r="D2603" s="458"/>
      <c r="E2603" s="182"/>
      <c r="F2603" s="183"/>
      <c r="G2603" s="183"/>
      <c r="H2603" s="496"/>
      <c r="I2603" s="183"/>
      <c r="J2603" s="183"/>
      <c r="K2603" s="183"/>
      <c r="L2603" s="183"/>
      <c r="M2603" s="459"/>
      <c r="N2603" s="353"/>
      <c r="O2603" s="353"/>
      <c r="P2603" s="353"/>
      <c r="Q2603" s="458"/>
      <c r="R2603" s="459"/>
    </row>
    <row r="2604" spans="1:18">
      <c r="A2604" s="440"/>
      <c r="B2604" s="460"/>
      <c r="C2604" s="461"/>
      <c r="D2604" s="458"/>
      <c r="E2604" s="182"/>
      <c r="F2604" s="183"/>
      <c r="G2604" s="183"/>
      <c r="H2604" s="496"/>
      <c r="I2604" s="183"/>
      <c r="J2604" s="183"/>
      <c r="K2604" s="183"/>
      <c r="L2604" s="183"/>
      <c r="M2604" s="459"/>
      <c r="N2604" s="353"/>
      <c r="O2604" s="353"/>
      <c r="P2604" s="353"/>
      <c r="Q2604" s="458"/>
      <c r="R2604" s="459"/>
    </row>
    <row r="2605" spans="1:18">
      <c r="A2605" s="440"/>
      <c r="B2605" s="460"/>
      <c r="C2605" s="461"/>
      <c r="D2605" s="458"/>
      <c r="E2605" s="182"/>
      <c r="F2605" s="183"/>
      <c r="G2605" s="183"/>
      <c r="H2605" s="496"/>
      <c r="I2605" s="183"/>
      <c r="J2605" s="183"/>
      <c r="K2605" s="183"/>
      <c r="L2605" s="183"/>
      <c r="M2605" s="459"/>
      <c r="N2605" s="353"/>
      <c r="O2605" s="353"/>
      <c r="P2605" s="353"/>
      <c r="Q2605" s="458"/>
      <c r="R2605" s="459"/>
    </row>
    <row r="2606" spans="1:18">
      <c r="A2606" s="440"/>
      <c r="B2606" s="460"/>
      <c r="C2606" s="461"/>
      <c r="D2606" s="458"/>
      <c r="E2606" s="182"/>
      <c r="F2606" s="183"/>
      <c r="G2606" s="183"/>
      <c r="H2606" s="496"/>
      <c r="I2606" s="183"/>
      <c r="J2606" s="183"/>
      <c r="K2606" s="183"/>
      <c r="L2606" s="183"/>
      <c r="M2606" s="459"/>
      <c r="N2606" s="353"/>
      <c r="O2606" s="353"/>
      <c r="P2606" s="353"/>
      <c r="Q2606" s="458"/>
      <c r="R2606" s="459"/>
    </row>
    <row r="2607" spans="1:18">
      <c r="A2607" s="440"/>
      <c r="B2607" s="460"/>
      <c r="C2607" s="461"/>
      <c r="D2607" s="458"/>
      <c r="E2607" s="182"/>
      <c r="F2607" s="183"/>
      <c r="G2607" s="183"/>
      <c r="H2607" s="496"/>
      <c r="I2607" s="183"/>
      <c r="J2607" s="183"/>
      <c r="K2607" s="183"/>
      <c r="L2607" s="183"/>
      <c r="M2607" s="459"/>
      <c r="N2607" s="353"/>
      <c r="O2607" s="353"/>
      <c r="P2607" s="353"/>
      <c r="Q2607" s="458"/>
      <c r="R2607" s="459"/>
    </row>
    <row r="2608" spans="1:18">
      <c r="A2608" s="440"/>
      <c r="B2608" s="460"/>
      <c r="C2608" s="461"/>
      <c r="D2608" s="458"/>
      <c r="E2608" s="182"/>
      <c r="F2608" s="183"/>
      <c r="G2608" s="183"/>
      <c r="H2608" s="496"/>
      <c r="I2608" s="183"/>
      <c r="J2608" s="183"/>
      <c r="K2608" s="183"/>
      <c r="L2608" s="183"/>
      <c r="M2608" s="459"/>
      <c r="N2608" s="353"/>
      <c r="O2608" s="353"/>
      <c r="P2608" s="353"/>
      <c r="Q2608" s="458"/>
      <c r="R2608" s="459"/>
    </row>
    <row r="2609" spans="1:18">
      <c r="A2609" s="440"/>
      <c r="B2609" s="460"/>
      <c r="C2609" s="461"/>
      <c r="D2609" s="458"/>
      <c r="E2609" s="182"/>
      <c r="F2609" s="183"/>
      <c r="G2609" s="183"/>
      <c r="H2609" s="496"/>
      <c r="I2609" s="183"/>
      <c r="J2609" s="183"/>
      <c r="K2609" s="183"/>
      <c r="L2609" s="183"/>
      <c r="M2609" s="459"/>
      <c r="N2609" s="353"/>
      <c r="O2609" s="353"/>
      <c r="P2609" s="353"/>
      <c r="Q2609" s="458"/>
      <c r="R2609" s="459"/>
    </row>
    <row r="2610" spans="1:18">
      <c r="A2610" s="440"/>
      <c r="B2610" s="460"/>
      <c r="C2610" s="461"/>
      <c r="D2610" s="458"/>
      <c r="E2610" s="182"/>
      <c r="F2610" s="183"/>
      <c r="G2610" s="183"/>
      <c r="H2610" s="496"/>
      <c r="I2610" s="183"/>
      <c r="J2610" s="183"/>
      <c r="K2610" s="183"/>
      <c r="L2610" s="183"/>
      <c r="M2610" s="459"/>
      <c r="N2610" s="353"/>
      <c r="O2610" s="353"/>
      <c r="P2610" s="353"/>
      <c r="Q2610" s="458"/>
      <c r="R2610" s="459"/>
    </row>
    <row r="2611" spans="1:18">
      <c r="A2611" s="440"/>
      <c r="B2611" s="460"/>
      <c r="C2611" s="461"/>
      <c r="D2611" s="458"/>
      <c r="E2611" s="182"/>
      <c r="F2611" s="183"/>
      <c r="G2611" s="183"/>
      <c r="H2611" s="496"/>
      <c r="I2611" s="183"/>
      <c r="J2611" s="183"/>
      <c r="K2611" s="183"/>
      <c r="L2611" s="183"/>
      <c r="M2611" s="459"/>
      <c r="N2611" s="353"/>
      <c r="O2611" s="353"/>
      <c r="P2611" s="353"/>
      <c r="Q2611" s="458"/>
      <c r="R2611" s="459"/>
    </row>
    <row r="2612" spans="1:18">
      <c r="A2612" s="440"/>
      <c r="B2612" s="460"/>
      <c r="C2612" s="461"/>
      <c r="D2612" s="458"/>
      <c r="E2612" s="182"/>
      <c r="F2612" s="183"/>
      <c r="G2612" s="183"/>
      <c r="H2612" s="496"/>
      <c r="I2612" s="183"/>
      <c r="J2612" s="183"/>
      <c r="K2612" s="183"/>
      <c r="L2612" s="183"/>
      <c r="M2612" s="459"/>
      <c r="N2612" s="353"/>
      <c r="O2612" s="353"/>
      <c r="P2612" s="353"/>
      <c r="Q2612" s="458"/>
      <c r="R2612" s="459"/>
    </row>
    <row r="2613" spans="1:18">
      <c r="A2613" s="440"/>
      <c r="B2613" s="460"/>
      <c r="C2613" s="461"/>
      <c r="D2613" s="458"/>
      <c r="E2613" s="182"/>
      <c r="F2613" s="183"/>
      <c r="G2613" s="183"/>
      <c r="H2613" s="496"/>
      <c r="I2613" s="183"/>
      <c r="J2613" s="183"/>
      <c r="K2613" s="183"/>
      <c r="L2613" s="183"/>
      <c r="M2613" s="459"/>
      <c r="N2613" s="353"/>
      <c r="O2613" s="353"/>
      <c r="P2613" s="353"/>
      <c r="Q2613" s="458"/>
      <c r="R2613" s="459"/>
    </row>
    <row r="2614" spans="1:18">
      <c r="A2614" s="440"/>
      <c r="B2614" s="460"/>
      <c r="C2614" s="461"/>
      <c r="D2614" s="458"/>
      <c r="E2614" s="182"/>
      <c r="F2614" s="183"/>
      <c r="G2614" s="183"/>
      <c r="H2614" s="496"/>
      <c r="I2614" s="183"/>
      <c r="J2614" s="183"/>
      <c r="K2614" s="183"/>
      <c r="L2614" s="183"/>
      <c r="M2614" s="459"/>
      <c r="N2614" s="353"/>
      <c r="O2614" s="353"/>
      <c r="P2614" s="353"/>
      <c r="Q2614" s="458"/>
      <c r="R2614" s="459"/>
    </row>
    <row r="2615" spans="1:18">
      <c r="A2615" s="440"/>
      <c r="B2615" s="460"/>
      <c r="C2615" s="461"/>
      <c r="D2615" s="458"/>
      <c r="E2615" s="182"/>
      <c r="F2615" s="183"/>
      <c r="G2615" s="183"/>
      <c r="H2615" s="496"/>
      <c r="I2615" s="183"/>
      <c r="J2615" s="183"/>
      <c r="K2615" s="183"/>
      <c r="L2615" s="183"/>
      <c r="M2615" s="459"/>
      <c r="N2615" s="353"/>
      <c r="O2615" s="353"/>
      <c r="P2615" s="353"/>
      <c r="Q2615" s="458"/>
      <c r="R2615" s="459"/>
    </row>
    <row r="2616" spans="1:18">
      <c r="A2616" s="440"/>
      <c r="B2616" s="460"/>
      <c r="C2616" s="461"/>
      <c r="D2616" s="458"/>
      <c r="E2616" s="182"/>
      <c r="F2616" s="183"/>
      <c r="G2616" s="183"/>
      <c r="H2616" s="496"/>
      <c r="I2616" s="183"/>
      <c r="J2616" s="183"/>
      <c r="K2616" s="183"/>
      <c r="L2616" s="183"/>
      <c r="M2616" s="459"/>
      <c r="N2616" s="353"/>
      <c r="O2616" s="353"/>
      <c r="P2616" s="353"/>
      <c r="Q2616" s="458"/>
      <c r="R2616" s="459"/>
    </row>
    <row r="2617" spans="1:18">
      <c r="A2617" s="440"/>
      <c r="B2617" s="460"/>
      <c r="C2617" s="461"/>
      <c r="D2617" s="458"/>
      <c r="E2617" s="182"/>
      <c r="F2617" s="183"/>
      <c r="G2617" s="183"/>
      <c r="H2617" s="496"/>
      <c r="I2617" s="183"/>
      <c r="J2617" s="183"/>
      <c r="K2617" s="183"/>
      <c r="L2617" s="183"/>
      <c r="M2617" s="459"/>
      <c r="N2617" s="353"/>
      <c r="O2617" s="353"/>
      <c r="P2617" s="353"/>
      <c r="Q2617" s="458"/>
      <c r="R2617" s="459"/>
    </row>
    <row r="2618" spans="1:18">
      <c r="A2618" s="440"/>
      <c r="B2618" s="460"/>
      <c r="C2618" s="461"/>
      <c r="D2618" s="458"/>
      <c r="E2618" s="182"/>
      <c r="F2618" s="183"/>
      <c r="G2618" s="183"/>
      <c r="H2618" s="496"/>
      <c r="I2618" s="183"/>
      <c r="J2618" s="183"/>
      <c r="K2618" s="183"/>
      <c r="L2618" s="183"/>
      <c r="M2618" s="459"/>
      <c r="N2618" s="353"/>
      <c r="O2618" s="353"/>
      <c r="P2618" s="353"/>
      <c r="Q2618" s="458"/>
      <c r="R2618" s="459"/>
    </row>
    <row r="2619" spans="1:18">
      <c r="A2619" s="440"/>
      <c r="B2619" s="460"/>
      <c r="C2619" s="461"/>
      <c r="D2619" s="458"/>
      <c r="E2619" s="182"/>
      <c r="F2619" s="183"/>
      <c r="G2619" s="183"/>
      <c r="H2619" s="496"/>
      <c r="I2619" s="183"/>
      <c r="J2619" s="183"/>
      <c r="K2619" s="183"/>
      <c r="L2619" s="183"/>
      <c r="M2619" s="459"/>
      <c r="N2619" s="353"/>
      <c r="O2619" s="353"/>
      <c r="P2619" s="353"/>
      <c r="Q2619" s="458"/>
      <c r="R2619" s="459"/>
    </row>
    <row r="2620" spans="1:18">
      <c r="A2620" s="440"/>
      <c r="B2620" s="460"/>
      <c r="C2620" s="461"/>
      <c r="D2620" s="458"/>
      <c r="E2620" s="182"/>
      <c r="F2620" s="183"/>
      <c r="G2620" s="183"/>
      <c r="H2620" s="496"/>
      <c r="I2620" s="183"/>
      <c r="J2620" s="183"/>
      <c r="K2620" s="183"/>
      <c r="L2620" s="183"/>
      <c r="M2620" s="459" t="str">
        <f t="shared" ref="M2620:M2655" si="101">IF(L2620="","",IF(LEN(L2620)&gt;14,IF(ISBLANK(L2620),"",L2620),REPLACE(REPLACE(L2620,1,3,"XXX"),13,2,"XX")))</f>
        <v/>
      </c>
      <c r="N2620" s="353"/>
      <c r="O2620" s="353"/>
      <c r="P2620" s="353"/>
      <c r="Q2620" s="458"/>
      <c r="R2620" s="459"/>
    </row>
    <row r="2621" spans="1:18">
      <c r="A2621" s="440"/>
      <c r="B2621" s="460"/>
      <c r="C2621" s="461"/>
      <c r="D2621" s="458"/>
      <c r="E2621" s="182"/>
      <c r="F2621" s="183"/>
      <c r="G2621" s="183"/>
      <c r="H2621" s="496"/>
      <c r="I2621" s="183"/>
      <c r="J2621" s="183"/>
      <c r="K2621" s="183"/>
      <c r="L2621" s="183"/>
      <c r="M2621" s="459" t="str">
        <f t="shared" si="101"/>
        <v/>
      </c>
      <c r="N2621" s="353"/>
      <c r="O2621" s="353"/>
      <c r="P2621" s="353"/>
      <c r="Q2621" s="458"/>
      <c r="R2621" s="459"/>
    </row>
    <row r="2622" spans="1:18">
      <c r="A2622" s="440"/>
      <c r="B2622" s="460"/>
      <c r="C2622" s="461"/>
      <c r="D2622" s="458"/>
      <c r="E2622" s="182"/>
      <c r="F2622" s="183"/>
      <c r="G2622" s="183"/>
      <c r="H2622" s="496"/>
      <c r="I2622" s="183"/>
      <c r="J2622" s="183"/>
      <c r="K2622" s="183"/>
      <c r="L2622" s="183"/>
      <c r="M2622" s="459" t="str">
        <f t="shared" si="101"/>
        <v/>
      </c>
      <c r="N2622" s="353"/>
      <c r="O2622" s="353"/>
      <c r="P2622" s="353"/>
      <c r="Q2622" s="458"/>
      <c r="R2622" s="459"/>
    </row>
    <row r="2623" spans="1:18">
      <c r="A2623" s="440"/>
      <c r="B2623" s="460"/>
      <c r="C2623" s="461"/>
      <c r="D2623" s="458"/>
      <c r="E2623" s="182"/>
      <c r="F2623" s="183"/>
      <c r="G2623" s="183"/>
      <c r="H2623" s="496"/>
      <c r="I2623" s="183"/>
      <c r="J2623" s="183"/>
      <c r="K2623" s="183"/>
      <c r="L2623" s="183"/>
      <c r="M2623" s="459" t="str">
        <f t="shared" si="101"/>
        <v/>
      </c>
      <c r="N2623" s="353"/>
      <c r="O2623" s="353"/>
      <c r="P2623" s="353"/>
      <c r="Q2623" s="458"/>
      <c r="R2623" s="459"/>
    </row>
    <row r="2624" spans="1:18">
      <c r="A2624" s="440"/>
      <c r="B2624" s="460"/>
      <c r="C2624" s="461"/>
      <c r="D2624" s="458"/>
      <c r="E2624" s="182"/>
      <c r="F2624" s="183"/>
      <c r="G2624" s="183"/>
      <c r="H2624" s="496"/>
      <c r="I2624" s="183"/>
      <c r="J2624" s="183"/>
      <c r="K2624" s="183"/>
      <c r="L2624" s="183"/>
      <c r="M2624" s="459" t="str">
        <f t="shared" si="101"/>
        <v/>
      </c>
      <c r="N2624" s="353"/>
      <c r="O2624" s="353"/>
      <c r="P2624" s="353"/>
      <c r="Q2624" s="458"/>
      <c r="R2624" s="459"/>
    </row>
    <row r="2625" spans="1:18">
      <c r="A2625" s="440"/>
      <c r="B2625" s="460"/>
      <c r="C2625" s="461"/>
      <c r="D2625" s="458"/>
      <c r="E2625" s="182"/>
      <c r="F2625" s="183"/>
      <c r="G2625" s="183"/>
      <c r="H2625" s="496"/>
      <c r="I2625" s="183"/>
      <c r="J2625" s="183"/>
      <c r="K2625" s="183"/>
      <c r="L2625" s="183"/>
      <c r="M2625" s="459" t="str">
        <f t="shared" si="101"/>
        <v/>
      </c>
      <c r="N2625" s="353"/>
      <c r="O2625" s="353"/>
      <c r="P2625" s="353"/>
      <c r="Q2625" s="458"/>
      <c r="R2625" s="459"/>
    </row>
    <row r="2626" spans="1:18">
      <c r="A2626" s="440"/>
      <c r="B2626" s="460"/>
      <c r="C2626" s="461"/>
      <c r="D2626" s="458"/>
      <c r="E2626" s="182"/>
      <c r="F2626" s="183"/>
      <c r="G2626" s="183"/>
      <c r="H2626" s="496"/>
      <c r="I2626" s="183"/>
      <c r="J2626" s="183"/>
      <c r="K2626" s="183"/>
      <c r="L2626" s="183"/>
      <c r="M2626" s="459" t="str">
        <f t="shared" si="101"/>
        <v/>
      </c>
      <c r="N2626" s="353"/>
      <c r="O2626" s="353"/>
      <c r="P2626" s="353"/>
      <c r="Q2626" s="458"/>
      <c r="R2626" s="459"/>
    </row>
    <row r="2627" spans="1:18">
      <c r="A2627" s="440"/>
      <c r="B2627" s="460"/>
      <c r="C2627" s="461"/>
      <c r="D2627" s="458"/>
      <c r="E2627" s="182"/>
      <c r="F2627" s="183"/>
      <c r="G2627" s="183"/>
      <c r="H2627" s="496"/>
      <c r="I2627" s="183"/>
      <c r="J2627" s="183"/>
      <c r="K2627" s="183"/>
      <c r="L2627" s="183"/>
      <c r="M2627" s="459" t="str">
        <f t="shared" si="101"/>
        <v/>
      </c>
      <c r="N2627" s="353"/>
      <c r="O2627" s="353"/>
      <c r="P2627" s="353"/>
      <c r="Q2627" s="458"/>
      <c r="R2627" s="459"/>
    </row>
    <row r="2628" spans="1:18">
      <c r="A2628" s="440"/>
      <c r="B2628" s="460"/>
      <c r="C2628" s="461"/>
      <c r="D2628" s="458"/>
      <c r="E2628" s="182"/>
      <c r="F2628" s="183"/>
      <c r="G2628" s="183"/>
      <c r="H2628" s="496"/>
      <c r="I2628" s="183"/>
      <c r="J2628" s="183"/>
      <c r="K2628" s="183"/>
      <c r="L2628" s="183"/>
      <c r="M2628" s="459" t="str">
        <f t="shared" si="101"/>
        <v/>
      </c>
      <c r="N2628" s="353"/>
      <c r="O2628" s="353"/>
      <c r="P2628" s="353"/>
      <c r="Q2628" s="458"/>
      <c r="R2628" s="459"/>
    </row>
    <row r="2629" spans="1:18">
      <c r="A2629" s="440"/>
      <c r="B2629" s="460"/>
      <c r="C2629" s="461"/>
      <c r="D2629" s="458"/>
      <c r="E2629" s="182"/>
      <c r="F2629" s="183"/>
      <c r="G2629" s="183"/>
      <c r="H2629" s="496"/>
      <c r="I2629" s="183"/>
      <c r="J2629" s="183"/>
      <c r="K2629" s="183"/>
      <c r="L2629" s="183"/>
      <c r="M2629" s="459" t="str">
        <f t="shared" si="101"/>
        <v/>
      </c>
      <c r="N2629" s="353"/>
      <c r="O2629" s="353"/>
      <c r="P2629" s="353"/>
      <c r="Q2629" s="458"/>
      <c r="R2629" s="459"/>
    </row>
    <row r="2630" spans="1:18">
      <c r="A2630" s="440"/>
      <c r="B2630" s="460"/>
      <c r="C2630" s="461"/>
      <c r="D2630" s="458"/>
      <c r="E2630" s="182"/>
      <c r="F2630" s="183"/>
      <c r="G2630" s="183"/>
      <c r="H2630" s="496"/>
      <c r="I2630" s="183"/>
      <c r="J2630" s="183"/>
      <c r="K2630" s="183"/>
      <c r="L2630" s="183"/>
      <c r="M2630" s="459" t="str">
        <f t="shared" si="101"/>
        <v/>
      </c>
      <c r="N2630" s="353"/>
      <c r="O2630" s="353"/>
      <c r="P2630" s="353"/>
      <c r="Q2630" s="458"/>
      <c r="R2630" s="459"/>
    </row>
    <row r="2631" spans="1:18">
      <c r="A2631" s="440"/>
      <c r="B2631" s="460"/>
      <c r="C2631" s="461"/>
      <c r="D2631" s="458"/>
      <c r="E2631" s="182"/>
      <c r="F2631" s="183"/>
      <c r="G2631" s="183"/>
      <c r="H2631" s="496"/>
      <c r="I2631" s="183"/>
      <c r="J2631" s="183"/>
      <c r="K2631" s="183"/>
      <c r="L2631" s="183"/>
      <c r="M2631" s="459" t="str">
        <f t="shared" si="101"/>
        <v/>
      </c>
      <c r="N2631" s="353"/>
      <c r="O2631" s="353"/>
      <c r="P2631" s="353"/>
      <c r="Q2631" s="458"/>
      <c r="R2631" s="459"/>
    </row>
    <row r="2632" spans="1:18">
      <c r="A2632" s="440"/>
      <c r="B2632" s="460"/>
      <c r="C2632" s="461"/>
      <c r="D2632" s="458"/>
      <c r="E2632" s="182"/>
      <c r="F2632" s="183"/>
      <c r="G2632" s="183"/>
      <c r="H2632" s="496"/>
      <c r="I2632" s="183"/>
      <c r="J2632" s="183"/>
      <c r="K2632" s="183"/>
      <c r="L2632" s="183"/>
      <c r="M2632" s="459" t="str">
        <f t="shared" si="101"/>
        <v/>
      </c>
      <c r="N2632" s="353"/>
      <c r="O2632" s="353"/>
      <c r="P2632" s="353"/>
      <c r="Q2632" s="458"/>
      <c r="R2632" s="459"/>
    </row>
    <row r="2633" spans="1:18">
      <c r="A2633" s="440"/>
      <c r="B2633" s="460"/>
      <c r="C2633" s="461"/>
      <c r="D2633" s="458"/>
      <c r="E2633" s="182"/>
      <c r="F2633" s="183"/>
      <c r="G2633" s="183"/>
      <c r="H2633" s="496"/>
      <c r="I2633" s="183"/>
      <c r="J2633" s="183"/>
      <c r="K2633" s="183"/>
      <c r="L2633" s="183"/>
      <c r="M2633" s="459" t="str">
        <f t="shared" si="101"/>
        <v/>
      </c>
      <c r="N2633" s="353"/>
      <c r="O2633" s="353"/>
      <c r="P2633" s="353"/>
      <c r="Q2633" s="458"/>
      <c r="R2633" s="459"/>
    </row>
    <row r="2634" spans="1:18">
      <c r="A2634" s="440"/>
      <c r="B2634" s="460"/>
      <c r="C2634" s="461"/>
      <c r="D2634" s="458"/>
      <c r="E2634" s="182"/>
      <c r="F2634" s="183"/>
      <c r="G2634" s="183"/>
      <c r="H2634" s="496"/>
      <c r="I2634" s="183"/>
      <c r="J2634" s="183"/>
      <c r="K2634" s="183"/>
      <c r="L2634" s="183"/>
      <c r="M2634" s="459" t="str">
        <f t="shared" si="101"/>
        <v/>
      </c>
      <c r="N2634" s="353"/>
      <c r="O2634" s="353"/>
      <c r="P2634" s="353"/>
      <c r="Q2634" s="458"/>
      <c r="R2634" s="459"/>
    </row>
    <row r="2635" spans="1:18">
      <c r="A2635" s="440"/>
      <c r="B2635" s="463"/>
      <c r="C2635" s="461"/>
      <c r="D2635" s="458"/>
      <c r="E2635" s="182"/>
      <c r="F2635" s="183"/>
      <c r="G2635" s="183"/>
      <c r="H2635" s="496"/>
      <c r="I2635" s="183"/>
      <c r="J2635" s="183"/>
      <c r="K2635" s="183"/>
      <c r="L2635" s="183"/>
      <c r="M2635" s="459" t="str">
        <f t="shared" si="101"/>
        <v/>
      </c>
      <c r="N2635" s="353"/>
      <c r="O2635" s="353"/>
      <c r="P2635" s="353"/>
      <c r="Q2635" s="458"/>
      <c r="R2635" s="459"/>
    </row>
    <row r="2636" spans="1:18">
      <c r="A2636" s="440"/>
      <c r="B2636" s="460"/>
      <c r="C2636" s="461"/>
      <c r="D2636" s="458"/>
      <c r="E2636" s="182"/>
      <c r="F2636" s="183"/>
      <c r="G2636" s="183"/>
      <c r="H2636" s="496"/>
      <c r="I2636" s="183"/>
      <c r="J2636" s="183"/>
      <c r="K2636" s="183"/>
      <c r="L2636" s="183"/>
      <c r="M2636" s="459" t="str">
        <f t="shared" si="101"/>
        <v/>
      </c>
      <c r="N2636" s="353"/>
      <c r="O2636" s="353"/>
      <c r="P2636" s="353"/>
      <c r="Q2636" s="458"/>
      <c r="R2636" s="459"/>
    </row>
    <row r="2637" spans="1:18">
      <c r="A2637" s="440"/>
      <c r="B2637" s="460"/>
      <c r="C2637" s="461"/>
      <c r="D2637" s="458"/>
      <c r="E2637" s="182"/>
      <c r="F2637" s="183"/>
      <c r="G2637" s="183"/>
      <c r="H2637" s="496"/>
      <c r="I2637" s="183"/>
      <c r="J2637" s="183"/>
      <c r="K2637" s="183"/>
      <c r="L2637" s="183"/>
      <c r="M2637" s="459" t="str">
        <f t="shared" si="101"/>
        <v/>
      </c>
      <c r="N2637" s="353"/>
      <c r="O2637" s="353"/>
      <c r="P2637" s="353"/>
      <c r="Q2637" s="458"/>
      <c r="R2637" s="459"/>
    </row>
    <row r="2638" spans="1:18">
      <c r="A2638" s="440"/>
      <c r="B2638" s="460"/>
      <c r="C2638" s="461"/>
      <c r="D2638" s="458"/>
      <c r="E2638" s="182"/>
      <c r="F2638" s="183"/>
      <c r="G2638" s="183"/>
      <c r="H2638" s="496"/>
      <c r="I2638" s="183"/>
      <c r="J2638" s="183"/>
      <c r="K2638" s="183"/>
      <c r="L2638" s="183"/>
      <c r="M2638" s="459" t="str">
        <f t="shared" si="101"/>
        <v/>
      </c>
      <c r="N2638" s="353"/>
      <c r="O2638" s="353"/>
      <c r="P2638" s="353"/>
      <c r="Q2638" s="458"/>
      <c r="R2638" s="459"/>
    </row>
    <row r="2639" spans="1:18">
      <c r="A2639" s="440"/>
      <c r="B2639" s="460"/>
      <c r="C2639" s="461"/>
      <c r="D2639" s="458"/>
      <c r="E2639" s="182"/>
      <c r="F2639" s="183"/>
      <c r="G2639" s="183"/>
      <c r="H2639" s="496"/>
      <c r="I2639" s="183"/>
      <c r="J2639" s="183"/>
      <c r="K2639" s="183"/>
      <c r="L2639" s="183"/>
      <c r="M2639" s="459" t="str">
        <f t="shared" si="101"/>
        <v/>
      </c>
      <c r="N2639" s="353"/>
      <c r="O2639" s="353"/>
      <c r="P2639" s="353"/>
      <c r="Q2639" s="458"/>
      <c r="R2639" s="459"/>
    </row>
    <row r="2640" spans="1:18">
      <c r="A2640" s="440"/>
      <c r="B2640" s="460"/>
      <c r="C2640" s="461"/>
      <c r="D2640" s="458"/>
      <c r="E2640" s="182"/>
      <c r="F2640" s="183"/>
      <c r="G2640" s="183"/>
      <c r="H2640" s="496"/>
      <c r="I2640" s="183"/>
      <c r="J2640" s="183"/>
      <c r="K2640" s="183"/>
      <c r="L2640" s="183"/>
      <c r="M2640" s="459" t="str">
        <f t="shared" si="101"/>
        <v/>
      </c>
      <c r="N2640" s="353"/>
      <c r="O2640" s="353"/>
      <c r="P2640" s="353"/>
      <c r="Q2640" s="458"/>
      <c r="R2640" s="459"/>
    </row>
    <row r="2641" spans="1:18">
      <c r="A2641" s="440"/>
      <c r="B2641" s="460"/>
      <c r="C2641" s="461"/>
      <c r="D2641" s="458"/>
      <c r="E2641" s="182"/>
      <c r="F2641" s="183"/>
      <c r="G2641" s="183"/>
      <c r="H2641" s="496"/>
      <c r="I2641" s="183"/>
      <c r="J2641" s="183"/>
      <c r="K2641" s="183"/>
      <c r="L2641" s="183"/>
      <c r="M2641" s="459" t="str">
        <f t="shared" si="101"/>
        <v/>
      </c>
      <c r="N2641" s="353"/>
      <c r="O2641" s="353"/>
      <c r="P2641" s="353"/>
      <c r="Q2641" s="458"/>
      <c r="R2641" s="459"/>
    </row>
    <row r="2642" spans="1:18">
      <c r="A2642" s="440"/>
      <c r="B2642" s="460"/>
      <c r="C2642" s="461"/>
      <c r="D2642" s="458"/>
      <c r="E2642" s="182"/>
      <c r="F2642" s="183"/>
      <c r="G2642" s="183"/>
      <c r="H2642" s="496"/>
      <c r="I2642" s="183"/>
      <c r="J2642" s="183"/>
      <c r="K2642" s="183"/>
      <c r="L2642" s="183"/>
      <c r="M2642" s="459" t="str">
        <f t="shared" si="101"/>
        <v/>
      </c>
      <c r="N2642" s="353"/>
      <c r="O2642" s="353"/>
      <c r="P2642" s="353"/>
      <c r="Q2642" s="458"/>
      <c r="R2642" s="459"/>
    </row>
    <row r="2643" spans="1:18">
      <c r="A2643" s="440"/>
      <c r="B2643" s="460"/>
      <c r="C2643" s="461"/>
      <c r="D2643" s="458"/>
      <c r="E2643" s="182"/>
      <c r="F2643" s="183"/>
      <c r="G2643" s="183"/>
      <c r="H2643" s="496"/>
      <c r="I2643" s="183"/>
      <c r="J2643" s="183"/>
      <c r="K2643" s="183"/>
      <c r="L2643" s="183"/>
      <c r="M2643" s="459" t="str">
        <f t="shared" si="101"/>
        <v/>
      </c>
      <c r="N2643" s="353"/>
      <c r="O2643" s="353"/>
      <c r="P2643" s="353"/>
      <c r="Q2643" s="458"/>
      <c r="R2643" s="459"/>
    </row>
    <row r="2644" spans="1:18">
      <c r="A2644" s="440"/>
      <c r="B2644" s="460"/>
      <c r="C2644" s="461"/>
      <c r="D2644" s="458"/>
      <c r="E2644" s="182"/>
      <c r="F2644" s="183"/>
      <c r="G2644" s="183"/>
      <c r="H2644" s="496"/>
      <c r="I2644" s="183"/>
      <c r="J2644" s="183"/>
      <c r="K2644" s="183"/>
      <c r="L2644" s="183"/>
      <c r="M2644" s="459" t="str">
        <f t="shared" si="101"/>
        <v/>
      </c>
      <c r="N2644" s="353"/>
      <c r="O2644" s="353"/>
      <c r="P2644" s="353"/>
      <c r="Q2644" s="458"/>
      <c r="R2644" s="459"/>
    </row>
    <row r="2645" spans="1:18">
      <c r="A2645" s="440"/>
      <c r="B2645" s="460"/>
      <c r="C2645" s="461"/>
      <c r="D2645" s="458"/>
      <c r="E2645" s="182"/>
      <c r="F2645" s="183"/>
      <c r="G2645" s="183"/>
      <c r="H2645" s="496"/>
      <c r="I2645" s="183"/>
      <c r="J2645" s="183"/>
      <c r="K2645" s="183"/>
      <c r="L2645" s="183"/>
      <c r="M2645" s="459" t="str">
        <f t="shared" si="101"/>
        <v/>
      </c>
      <c r="N2645" s="353"/>
      <c r="O2645" s="353"/>
      <c r="P2645" s="353"/>
      <c r="Q2645" s="458"/>
      <c r="R2645" s="459"/>
    </row>
    <row r="2646" spans="1:18">
      <c r="A2646" s="440"/>
      <c r="B2646" s="460"/>
      <c r="C2646" s="461"/>
      <c r="D2646" s="458"/>
      <c r="E2646" s="182"/>
      <c r="F2646" s="183"/>
      <c r="G2646" s="183"/>
      <c r="H2646" s="496"/>
      <c r="I2646" s="183"/>
      <c r="J2646" s="183"/>
      <c r="K2646" s="183"/>
      <c r="L2646" s="183"/>
      <c r="M2646" s="459" t="str">
        <f t="shared" si="101"/>
        <v/>
      </c>
      <c r="N2646" s="353"/>
      <c r="O2646" s="353"/>
      <c r="P2646" s="353"/>
      <c r="Q2646" s="458"/>
      <c r="R2646" s="459"/>
    </row>
    <row r="2647" spans="1:18">
      <c r="A2647" s="440"/>
      <c r="B2647" s="460"/>
      <c r="C2647" s="461"/>
      <c r="D2647" s="458"/>
      <c r="E2647" s="182"/>
      <c r="F2647" s="183"/>
      <c r="G2647" s="183"/>
      <c r="H2647" s="496"/>
      <c r="I2647" s="183"/>
      <c r="J2647" s="183"/>
      <c r="K2647" s="183"/>
      <c r="L2647" s="183"/>
      <c r="M2647" s="459" t="str">
        <f t="shared" si="101"/>
        <v/>
      </c>
      <c r="N2647" s="353"/>
      <c r="O2647" s="353"/>
      <c r="P2647" s="353"/>
      <c r="Q2647" s="458"/>
      <c r="R2647" s="459"/>
    </row>
    <row r="2648" spans="1:18">
      <c r="A2648" s="440"/>
      <c r="B2648" s="460"/>
      <c r="C2648" s="461"/>
      <c r="D2648" s="458"/>
      <c r="E2648" s="182"/>
      <c r="F2648" s="183"/>
      <c r="G2648" s="183"/>
      <c r="H2648" s="496"/>
      <c r="I2648" s="183"/>
      <c r="J2648" s="183"/>
      <c r="K2648" s="183"/>
      <c r="L2648" s="183"/>
      <c r="M2648" s="459" t="str">
        <f t="shared" si="101"/>
        <v/>
      </c>
      <c r="N2648" s="353"/>
      <c r="O2648" s="353"/>
      <c r="P2648" s="353"/>
      <c r="Q2648" s="458"/>
      <c r="R2648" s="459"/>
    </row>
    <row r="2649" spans="1:18">
      <c r="A2649" s="440"/>
      <c r="B2649" s="460"/>
      <c r="C2649" s="461"/>
      <c r="D2649" s="458"/>
      <c r="E2649" s="182"/>
      <c r="F2649" s="183"/>
      <c r="G2649" s="183"/>
      <c r="H2649" s="496"/>
      <c r="I2649" s="183"/>
      <c r="J2649" s="183"/>
      <c r="K2649" s="183"/>
      <c r="L2649" s="183"/>
      <c r="M2649" s="459" t="str">
        <f t="shared" si="101"/>
        <v/>
      </c>
      <c r="N2649" s="353"/>
      <c r="O2649" s="353"/>
      <c r="P2649" s="353"/>
      <c r="Q2649" s="458"/>
      <c r="R2649" s="459"/>
    </row>
    <row r="2650" spans="1:18">
      <c r="A2650" s="440"/>
      <c r="B2650" s="460"/>
      <c r="C2650" s="461"/>
      <c r="D2650" s="458"/>
      <c r="E2650" s="182"/>
      <c r="F2650" s="183"/>
      <c r="G2650" s="183"/>
      <c r="H2650" s="496"/>
      <c r="I2650" s="183"/>
      <c r="J2650" s="183"/>
      <c r="K2650" s="183"/>
      <c r="L2650" s="183"/>
      <c r="M2650" s="459" t="str">
        <f t="shared" si="101"/>
        <v/>
      </c>
      <c r="N2650" s="353"/>
      <c r="O2650" s="353"/>
      <c r="P2650" s="353"/>
      <c r="Q2650" s="458"/>
      <c r="R2650" s="459"/>
    </row>
    <row r="2651" spans="1:18">
      <c r="A2651" s="440"/>
      <c r="B2651" s="460"/>
      <c r="C2651" s="461"/>
      <c r="D2651" s="458"/>
      <c r="E2651" s="182"/>
      <c r="F2651" s="183"/>
      <c r="G2651" s="183"/>
      <c r="H2651" s="496"/>
      <c r="I2651" s="183"/>
      <c r="J2651" s="183"/>
      <c r="K2651" s="183"/>
      <c r="L2651" s="183"/>
      <c r="M2651" s="459" t="str">
        <f t="shared" si="101"/>
        <v/>
      </c>
      <c r="N2651" s="353"/>
      <c r="O2651" s="353"/>
      <c r="P2651" s="353"/>
      <c r="Q2651" s="458"/>
      <c r="R2651" s="459"/>
    </row>
    <row r="2652" spans="1:18">
      <c r="A2652" s="440"/>
      <c r="B2652" s="460"/>
      <c r="C2652" s="461"/>
      <c r="D2652" s="458"/>
      <c r="E2652" s="182"/>
      <c r="F2652" s="183"/>
      <c r="G2652" s="183"/>
      <c r="H2652" s="496"/>
      <c r="I2652" s="183"/>
      <c r="J2652" s="183"/>
      <c r="K2652" s="183"/>
      <c r="L2652" s="183"/>
      <c r="M2652" s="459" t="str">
        <f t="shared" si="101"/>
        <v/>
      </c>
      <c r="N2652" s="353"/>
      <c r="O2652" s="353"/>
      <c r="P2652" s="353"/>
      <c r="Q2652" s="458"/>
      <c r="R2652" s="459"/>
    </row>
    <row r="2653" spans="1:18">
      <c r="A2653" s="440"/>
      <c r="B2653" s="460"/>
      <c r="C2653" s="461"/>
      <c r="D2653" s="458"/>
      <c r="E2653" s="182"/>
      <c r="F2653" s="183"/>
      <c r="G2653" s="183"/>
      <c r="H2653" s="496"/>
      <c r="I2653" s="183"/>
      <c r="J2653" s="183"/>
      <c r="K2653" s="183"/>
      <c r="L2653" s="183"/>
      <c r="M2653" s="459" t="str">
        <f t="shared" si="101"/>
        <v/>
      </c>
      <c r="N2653" s="353"/>
      <c r="O2653" s="353"/>
      <c r="P2653" s="353"/>
      <c r="Q2653" s="458"/>
      <c r="R2653" s="459"/>
    </row>
    <row r="2654" spans="1:18">
      <c r="A2654" s="440"/>
      <c r="B2654" s="460"/>
      <c r="C2654" s="461"/>
      <c r="D2654" s="458"/>
      <c r="E2654" s="182"/>
      <c r="F2654" s="183"/>
      <c r="G2654" s="183"/>
      <c r="H2654" s="496"/>
      <c r="I2654" s="183"/>
      <c r="J2654" s="183"/>
      <c r="K2654" s="183"/>
      <c r="L2654" s="183"/>
      <c r="M2654" s="459" t="str">
        <f t="shared" si="101"/>
        <v/>
      </c>
      <c r="N2654" s="353"/>
      <c r="O2654" s="353"/>
      <c r="P2654" s="353"/>
      <c r="Q2654" s="458"/>
      <c r="R2654" s="459"/>
    </row>
    <row r="2655" spans="1:18">
      <c r="A2655" s="440"/>
      <c r="B2655" s="460"/>
      <c r="C2655" s="461"/>
      <c r="D2655" s="458"/>
      <c r="E2655" s="182"/>
      <c r="F2655" s="183"/>
      <c r="G2655" s="183"/>
      <c r="H2655" s="496"/>
      <c r="I2655" s="183"/>
      <c r="J2655" s="183"/>
      <c r="K2655" s="183"/>
      <c r="L2655" s="183"/>
      <c r="M2655" s="459" t="str">
        <f t="shared" si="101"/>
        <v/>
      </c>
      <c r="N2655" s="353"/>
      <c r="O2655" s="353"/>
      <c r="P2655" s="353"/>
      <c r="Q2655" s="458"/>
      <c r="R2655" s="459"/>
    </row>
    <row r="2656" spans="1:18">
      <c r="A2656" s="440"/>
      <c r="B2656" s="460"/>
      <c r="C2656" s="461"/>
      <c r="D2656" s="458"/>
      <c r="E2656" s="182"/>
      <c r="F2656" s="183"/>
      <c r="G2656" s="183"/>
      <c r="H2656" s="496"/>
      <c r="I2656" s="183"/>
      <c r="J2656" s="183"/>
      <c r="K2656" s="183"/>
      <c r="L2656" s="183"/>
      <c r="M2656" s="459" t="str">
        <f t="shared" ref="M2656:M2662" si="102">IF(L2656="","",IF(LEN(L2656)&gt;14,IF(ISBLANK(L2656),"",L2656),REPLACE(REPLACE(L2656,1,3,"XXX"),13,2,"XX")))</f>
        <v/>
      </c>
      <c r="N2656" s="353"/>
      <c r="O2656" s="353"/>
      <c r="P2656" s="353"/>
      <c r="Q2656" s="458"/>
      <c r="R2656" s="459"/>
    </row>
    <row r="2657" spans="1:18">
      <c r="A2657" s="440"/>
      <c r="B2657" s="460"/>
      <c r="C2657" s="461"/>
      <c r="D2657" s="458"/>
      <c r="E2657" s="182"/>
      <c r="F2657" s="183"/>
      <c r="G2657" s="183"/>
      <c r="H2657" s="496"/>
      <c r="I2657" s="183"/>
      <c r="J2657" s="183"/>
      <c r="K2657" s="183"/>
      <c r="L2657" s="183"/>
      <c r="M2657" s="459" t="str">
        <f t="shared" si="102"/>
        <v/>
      </c>
      <c r="N2657" s="353"/>
      <c r="O2657" s="353"/>
      <c r="P2657" s="353"/>
      <c r="Q2657" s="458"/>
      <c r="R2657" s="459"/>
    </row>
    <row r="2658" spans="1:18">
      <c r="A2658" s="440"/>
      <c r="B2658" s="460"/>
      <c r="C2658" s="461"/>
      <c r="D2658" s="458"/>
      <c r="E2658" s="182"/>
      <c r="F2658" s="183"/>
      <c r="G2658" s="183"/>
      <c r="H2658" s="496"/>
      <c r="I2658" s="183"/>
      <c r="J2658" s="183"/>
      <c r="K2658" s="183"/>
      <c r="L2658" s="183"/>
      <c r="M2658" s="459" t="str">
        <f t="shared" si="102"/>
        <v/>
      </c>
      <c r="N2658" s="353"/>
      <c r="O2658" s="353"/>
      <c r="P2658" s="353"/>
      <c r="Q2658" s="458"/>
      <c r="R2658" s="459"/>
    </row>
    <row r="2659" spans="1:18">
      <c r="A2659" s="440"/>
      <c r="B2659" s="460"/>
      <c r="C2659" s="461"/>
      <c r="D2659" s="458"/>
      <c r="E2659" s="182"/>
      <c r="F2659" s="183"/>
      <c r="G2659" s="183"/>
      <c r="H2659" s="496"/>
      <c r="I2659" s="183"/>
      <c r="J2659" s="183"/>
      <c r="K2659" s="183"/>
      <c r="L2659" s="183"/>
      <c r="M2659" s="459" t="str">
        <f t="shared" si="102"/>
        <v/>
      </c>
      <c r="N2659" s="353"/>
      <c r="O2659" s="353"/>
      <c r="P2659" s="353"/>
      <c r="Q2659" s="458"/>
      <c r="R2659" s="459"/>
    </row>
    <row r="2660" spans="1:18">
      <c r="A2660" s="440"/>
      <c r="B2660" s="460"/>
      <c r="C2660" s="461"/>
      <c r="D2660" s="458"/>
      <c r="E2660" s="182"/>
      <c r="F2660" s="183"/>
      <c r="G2660" s="183"/>
      <c r="H2660" s="496"/>
      <c r="I2660" s="183"/>
      <c r="J2660" s="183"/>
      <c r="K2660" s="183"/>
      <c r="L2660" s="183"/>
      <c r="M2660" s="459" t="str">
        <f t="shared" si="102"/>
        <v/>
      </c>
      <c r="N2660" s="353"/>
      <c r="O2660" s="353"/>
      <c r="P2660" s="353"/>
      <c r="Q2660" s="458"/>
      <c r="R2660" s="459"/>
    </row>
    <row r="2661" spans="1:18">
      <c r="A2661" s="440"/>
      <c r="B2661" s="460"/>
      <c r="C2661" s="461"/>
      <c r="D2661" s="458"/>
      <c r="E2661" s="182"/>
      <c r="F2661" s="183"/>
      <c r="G2661" s="183"/>
      <c r="H2661" s="496"/>
      <c r="I2661" s="183"/>
      <c r="J2661" s="183"/>
      <c r="K2661" s="183"/>
      <c r="L2661" s="183"/>
      <c r="M2661" s="459" t="str">
        <f t="shared" si="102"/>
        <v/>
      </c>
      <c r="N2661" s="353"/>
      <c r="O2661" s="353"/>
      <c r="P2661" s="353"/>
      <c r="Q2661" s="458"/>
      <c r="R2661" s="459"/>
    </row>
    <row r="2662" spans="1:18">
      <c r="A2662" s="440"/>
      <c r="B2662" s="460"/>
      <c r="C2662" s="461"/>
      <c r="D2662" s="458"/>
      <c r="E2662" s="182"/>
      <c r="F2662" s="183"/>
      <c r="G2662" s="183"/>
      <c r="H2662" s="496"/>
      <c r="I2662" s="183"/>
      <c r="J2662" s="183"/>
      <c r="K2662" s="183"/>
      <c r="L2662" s="183"/>
      <c r="M2662" s="459" t="str">
        <f t="shared" si="102"/>
        <v/>
      </c>
      <c r="N2662" s="353"/>
      <c r="O2662" s="353"/>
      <c r="P2662" s="353"/>
      <c r="Q2662" s="458"/>
      <c r="R2662" s="459"/>
    </row>
    <row r="2663" spans="1:18">
      <c r="A2663" s="440"/>
      <c r="B2663" s="460"/>
      <c r="C2663" s="464"/>
      <c r="D2663" s="465"/>
      <c r="E2663" s="465"/>
      <c r="F2663" s="466"/>
      <c r="G2663" s="466"/>
      <c r="J2663" s="441"/>
      <c r="K2663" s="441"/>
      <c r="L2663" s="440"/>
      <c r="O2663" s="442"/>
      <c r="P2663" s="442"/>
      <c r="Q2663" s="467"/>
      <c r="R2663" s="467"/>
    </row>
    <row r="2664" spans="1:18">
      <c r="A2664" s="440"/>
      <c r="B2664" s="460"/>
      <c r="C2664" s="464"/>
      <c r="D2664" s="465"/>
      <c r="E2664" s="465"/>
      <c r="F2664" s="466"/>
      <c r="G2664" s="466"/>
      <c r="J2664" s="441"/>
      <c r="K2664" s="441"/>
      <c r="L2664" s="440"/>
      <c r="O2664" s="442"/>
      <c r="P2664" s="442"/>
      <c r="Q2664" s="467"/>
      <c r="R2664" s="467"/>
    </row>
    <row r="2665" spans="1:18">
      <c r="A2665" s="440"/>
      <c r="B2665" s="460"/>
      <c r="C2665" s="464"/>
      <c r="D2665" s="465"/>
      <c r="E2665" s="465"/>
      <c r="F2665" s="466"/>
      <c r="G2665" s="466"/>
      <c r="J2665" s="441"/>
      <c r="K2665" s="441"/>
      <c r="L2665" s="440"/>
      <c r="O2665" s="442"/>
      <c r="P2665" s="442"/>
      <c r="Q2665" s="467"/>
      <c r="R2665" s="467"/>
    </row>
    <row r="2666" spans="1:18">
      <c r="A2666" s="440"/>
      <c r="B2666" s="460"/>
      <c r="C2666" s="464"/>
      <c r="D2666" s="465"/>
      <c r="E2666" s="465"/>
      <c r="F2666" s="466"/>
      <c r="G2666" s="466"/>
      <c r="J2666" s="441"/>
      <c r="K2666" s="441"/>
      <c r="L2666" s="440"/>
      <c r="O2666" s="442"/>
      <c r="P2666" s="442"/>
      <c r="Q2666" s="467"/>
      <c r="R2666" s="467"/>
    </row>
    <row r="2667" spans="1:18">
      <c r="A2667" s="440"/>
      <c r="B2667" s="460"/>
      <c r="C2667" s="464"/>
      <c r="D2667" s="465"/>
      <c r="E2667" s="465"/>
      <c r="F2667" s="466"/>
      <c r="G2667" s="466"/>
      <c r="J2667" s="441"/>
      <c r="K2667" s="441"/>
      <c r="L2667" s="440"/>
      <c r="O2667" s="442"/>
      <c r="P2667" s="442"/>
      <c r="Q2667" s="467"/>
      <c r="R2667" s="467"/>
    </row>
    <row r="2668" spans="1:18">
      <c r="A2668" s="440"/>
      <c r="B2668" s="460"/>
      <c r="C2668" s="464"/>
      <c r="D2668" s="465"/>
      <c r="E2668" s="465"/>
      <c r="F2668" s="466"/>
      <c r="G2668" s="466"/>
      <c r="J2668" s="441"/>
      <c r="K2668" s="441"/>
      <c r="L2668" s="440"/>
      <c r="O2668" s="442"/>
      <c r="P2668" s="442"/>
      <c r="Q2668" s="467"/>
      <c r="R2668" s="467"/>
    </row>
    <row r="2669" spans="1:18">
      <c r="A2669" s="440"/>
      <c r="B2669" s="460"/>
      <c r="C2669" s="464"/>
      <c r="D2669" s="465"/>
      <c r="E2669" s="465"/>
      <c r="F2669" s="466"/>
      <c r="G2669" s="466"/>
      <c r="J2669" s="441"/>
      <c r="K2669" s="441"/>
      <c r="L2669" s="440"/>
      <c r="O2669" s="442"/>
      <c r="P2669" s="442"/>
      <c r="Q2669" s="467"/>
      <c r="R2669" s="467"/>
    </row>
    <row r="2670" spans="1:18">
      <c r="A2670" s="440"/>
      <c r="B2670" s="460"/>
      <c r="C2670" s="464"/>
      <c r="D2670" s="465"/>
      <c r="E2670" s="465"/>
      <c r="F2670" s="466"/>
      <c r="G2670" s="466"/>
      <c r="J2670" s="441"/>
      <c r="K2670" s="441"/>
      <c r="L2670" s="440"/>
      <c r="O2670" s="442"/>
      <c r="P2670" s="442"/>
      <c r="Q2670" s="467"/>
      <c r="R2670" s="467"/>
    </row>
    <row r="2671" spans="1:18">
      <c r="A2671" s="440"/>
      <c r="B2671" s="460"/>
      <c r="C2671" s="464"/>
      <c r="D2671" s="465"/>
      <c r="E2671" s="465"/>
      <c r="F2671" s="466"/>
      <c r="G2671" s="466"/>
      <c r="J2671" s="441"/>
      <c r="K2671" s="441"/>
      <c r="L2671" s="440"/>
      <c r="O2671" s="442"/>
      <c r="P2671" s="442"/>
      <c r="Q2671" s="467"/>
      <c r="R2671" s="467"/>
    </row>
    <row r="2672" spans="1:18">
      <c r="A2672" s="440"/>
      <c r="B2672" s="460"/>
      <c r="C2672" s="464"/>
      <c r="D2672" s="465"/>
      <c r="E2672" s="465"/>
      <c r="F2672" s="466"/>
      <c r="G2672" s="466"/>
      <c r="J2672" s="441"/>
      <c r="K2672" s="441"/>
      <c r="L2672" s="440"/>
      <c r="O2672" s="442"/>
      <c r="P2672" s="442"/>
      <c r="Q2672" s="467"/>
      <c r="R2672" s="467"/>
    </row>
    <row r="2673" spans="1:18">
      <c r="A2673" s="440"/>
      <c r="B2673" s="460"/>
      <c r="C2673" s="464"/>
      <c r="D2673" s="465"/>
      <c r="E2673" s="465"/>
      <c r="F2673" s="466"/>
      <c r="G2673" s="466"/>
      <c r="J2673" s="441"/>
      <c r="K2673" s="441"/>
      <c r="L2673" s="440"/>
      <c r="O2673" s="442"/>
      <c r="P2673" s="442"/>
      <c r="Q2673" s="467"/>
      <c r="R2673" s="467"/>
    </row>
    <row r="2674" spans="1:18">
      <c r="A2674" s="440"/>
      <c r="B2674" s="460"/>
      <c r="C2674" s="464"/>
      <c r="D2674" s="465"/>
      <c r="E2674" s="465"/>
      <c r="F2674" s="466"/>
      <c r="G2674" s="466"/>
      <c r="J2674" s="441"/>
      <c r="K2674" s="441"/>
      <c r="L2674" s="440"/>
      <c r="O2674" s="442"/>
      <c r="P2674" s="442"/>
      <c r="Q2674" s="467"/>
      <c r="R2674" s="467"/>
    </row>
    <row r="2675" spans="1:18">
      <c r="A2675" s="440"/>
      <c r="B2675" s="460"/>
      <c r="C2675" s="464"/>
      <c r="D2675" s="465"/>
      <c r="E2675" s="465"/>
      <c r="F2675" s="466"/>
      <c r="G2675" s="466"/>
      <c r="J2675" s="441"/>
      <c r="K2675" s="441"/>
      <c r="L2675" s="440"/>
      <c r="O2675" s="442"/>
      <c r="P2675" s="442"/>
      <c r="Q2675" s="467"/>
      <c r="R2675" s="467"/>
    </row>
    <row r="2676" spans="1:18">
      <c r="A2676" s="440"/>
      <c r="B2676" s="460"/>
      <c r="C2676" s="464"/>
      <c r="D2676" s="465"/>
      <c r="E2676" s="465"/>
      <c r="F2676" s="466"/>
      <c r="G2676" s="466"/>
      <c r="J2676" s="441"/>
      <c r="K2676" s="441"/>
      <c r="L2676" s="440"/>
      <c r="O2676" s="442"/>
      <c r="P2676" s="442"/>
      <c r="Q2676" s="467"/>
      <c r="R2676" s="467"/>
    </row>
    <row r="2677" spans="1:18">
      <c r="A2677" s="440"/>
      <c r="B2677" s="460"/>
      <c r="C2677" s="464"/>
      <c r="D2677" s="465"/>
      <c r="E2677" s="465"/>
      <c r="F2677" s="466"/>
      <c r="G2677" s="466"/>
      <c r="J2677" s="441"/>
      <c r="K2677" s="441"/>
      <c r="L2677" s="440"/>
      <c r="O2677" s="442"/>
      <c r="P2677" s="442"/>
      <c r="Q2677" s="467"/>
      <c r="R2677" s="467"/>
    </row>
    <row r="2678" spans="1:18">
      <c r="A2678" s="440"/>
      <c r="B2678" s="460"/>
      <c r="C2678" s="464"/>
      <c r="D2678" s="465"/>
      <c r="E2678" s="465"/>
      <c r="F2678" s="466"/>
      <c r="G2678" s="466"/>
      <c r="J2678" s="441"/>
      <c r="K2678" s="441"/>
      <c r="L2678" s="440"/>
      <c r="O2678" s="442"/>
      <c r="P2678" s="442"/>
      <c r="Q2678" s="467"/>
      <c r="R2678" s="467"/>
    </row>
    <row r="2679" spans="1:18">
      <c r="A2679" s="440"/>
      <c r="B2679" s="460"/>
      <c r="C2679" s="464"/>
      <c r="D2679" s="465"/>
      <c r="E2679" s="465"/>
      <c r="F2679" s="466"/>
      <c r="G2679" s="466"/>
      <c r="J2679" s="441"/>
      <c r="K2679" s="441"/>
      <c r="L2679" s="440"/>
      <c r="O2679" s="442"/>
      <c r="P2679" s="442"/>
      <c r="Q2679" s="467"/>
      <c r="R2679" s="467"/>
    </row>
    <row r="2680" spans="1:18">
      <c r="A2680" s="440"/>
      <c r="B2680" s="460"/>
      <c r="C2680" s="464"/>
      <c r="D2680" s="465"/>
      <c r="E2680" s="465"/>
      <c r="F2680" s="466"/>
      <c r="G2680" s="466"/>
      <c r="J2680" s="441"/>
      <c r="K2680" s="441"/>
      <c r="L2680" s="440"/>
      <c r="O2680" s="442"/>
      <c r="P2680" s="442"/>
      <c r="Q2680" s="467"/>
      <c r="R2680" s="467"/>
    </row>
    <row r="2681" spans="1:18">
      <c r="A2681" s="440"/>
      <c r="B2681" s="460"/>
      <c r="C2681" s="464"/>
      <c r="D2681" s="465"/>
      <c r="E2681" s="465"/>
      <c r="F2681" s="466"/>
      <c r="G2681" s="466"/>
      <c r="J2681" s="441"/>
      <c r="K2681" s="441"/>
      <c r="L2681" s="440"/>
      <c r="O2681" s="442"/>
      <c r="P2681" s="442"/>
      <c r="Q2681" s="467"/>
      <c r="R2681" s="467"/>
    </row>
    <row r="2682" spans="1:18">
      <c r="A2682" s="440"/>
      <c r="B2682" s="460"/>
      <c r="C2682" s="464"/>
      <c r="D2682" s="465"/>
      <c r="E2682" s="465"/>
      <c r="F2682" s="466"/>
      <c r="G2682" s="466"/>
      <c r="J2682" s="441"/>
      <c r="K2682" s="441"/>
      <c r="L2682" s="440"/>
      <c r="O2682" s="442"/>
      <c r="P2682" s="442"/>
      <c r="Q2682" s="467"/>
      <c r="R2682" s="467"/>
    </row>
    <row r="2683" spans="1:18">
      <c r="A2683" s="440"/>
      <c r="B2683" s="460"/>
      <c r="C2683" s="464"/>
      <c r="D2683" s="465"/>
      <c r="E2683" s="465"/>
      <c r="F2683" s="466"/>
      <c r="G2683" s="466"/>
      <c r="J2683" s="441"/>
      <c r="K2683" s="441"/>
      <c r="L2683" s="440"/>
      <c r="O2683" s="442"/>
      <c r="P2683" s="442"/>
      <c r="Q2683" s="467"/>
      <c r="R2683" s="467"/>
    </row>
    <row r="2684" spans="1:18">
      <c r="A2684" s="440"/>
      <c r="B2684" s="460"/>
      <c r="C2684" s="464"/>
      <c r="D2684" s="465"/>
      <c r="E2684" s="465"/>
      <c r="F2684" s="466"/>
      <c r="G2684" s="466"/>
      <c r="J2684" s="441"/>
      <c r="K2684" s="441"/>
      <c r="L2684" s="440"/>
      <c r="O2684" s="442"/>
      <c r="P2684" s="442"/>
      <c r="Q2684" s="467"/>
      <c r="R2684" s="467"/>
    </row>
    <row r="2685" spans="1:18">
      <c r="A2685" s="440"/>
      <c r="B2685" s="460"/>
      <c r="C2685" s="464"/>
      <c r="D2685" s="465"/>
      <c r="E2685" s="465"/>
      <c r="F2685" s="466"/>
      <c r="G2685" s="466"/>
      <c r="J2685" s="441"/>
      <c r="K2685" s="441"/>
      <c r="L2685" s="440"/>
      <c r="O2685" s="442"/>
      <c r="P2685" s="442"/>
      <c r="Q2685" s="467"/>
      <c r="R2685" s="467"/>
    </row>
    <row r="2686" spans="1:18">
      <c r="A2686" s="440"/>
      <c r="B2686" s="460"/>
      <c r="C2686" s="464"/>
      <c r="D2686" s="465"/>
      <c r="E2686" s="465"/>
      <c r="F2686" s="466"/>
      <c r="G2686" s="466"/>
      <c r="J2686" s="441"/>
      <c r="K2686" s="441"/>
      <c r="L2686" s="440"/>
      <c r="O2686" s="442"/>
      <c r="P2686" s="442"/>
      <c r="Q2686" s="467"/>
      <c r="R2686" s="467"/>
    </row>
    <row r="2687" spans="1:18">
      <c r="A2687" s="440"/>
      <c r="B2687" s="460"/>
      <c r="C2687" s="464"/>
      <c r="D2687" s="465"/>
      <c r="E2687" s="465"/>
      <c r="F2687" s="466"/>
      <c r="G2687" s="466"/>
      <c r="J2687" s="441"/>
      <c r="K2687" s="441"/>
      <c r="L2687" s="440"/>
      <c r="O2687" s="442"/>
      <c r="P2687" s="442"/>
      <c r="Q2687" s="467"/>
      <c r="R2687" s="467"/>
    </row>
    <row r="2688" spans="1:18">
      <c r="A2688" s="440"/>
      <c r="B2688" s="460"/>
      <c r="C2688" s="464"/>
      <c r="D2688" s="465"/>
      <c r="E2688" s="465"/>
      <c r="F2688" s="466"/>
      <c r="G2688" s="466"/>
      <c r="J2688" s="441"/>
      <c r="K2688" s="441"/>
      <c r="L2688" s="440"/>
      <c r="O2688" s="442"/>
      <c r="P2688" s="442"/>
      <c r="Q2688" s="467"/>
      <c r="R2688" s="467"/>
    </row>
    <row r="2689" spans="1:18">
      <c r="A2689" s="440"/>
      <c r="B2689" s="460"/>
      <c r="C2689" s="464"/>
      <c r="D2689" s="465"/>
      <c r="E2689" s="465"/>
      <c r="F2689" s="466"/>
      <c r="G2689" s="466"/>
      <c r="J2689" s="441"/>
      <c r="K2689" s="441"/>
      <c r="L2689" s="440"/>
      <c r="O2689" s="442"/>
      <c r="P2689" s="442"/>
      <c r="Q2689" s="467"/>
      <c r="R2689" s="467"/>
    </row>
    <row r="2690" spans="1:18">
      <c r="A2690" s="440"/>
      <c r="B2690" s="460"/>
      <c r="C2690" s="464"/>
      <c r="D2690" s="465"/>
      <c r="E2690" s="465"/>
      <c r="F2690" s="466"/>
      <c r="G2690" s="466"/>
      <c r="J2690" s="441"/>
      <c r="K2690" s="441"/>
      <c r="L2690" s="440"/>
      <c r="O2690" s="442"/>
      <c r="P2690" s="442"/>
      <c r="Q2690" s="467"/>
      <c r="R2690" s="467"/>
    </row>
    <row r="2691" spans="1:18">
      <c r="A2691" s="440"/>
      <c r="B2691" s="460"/>
      <c r="C2691" s="464"/>
      <c r="D2691" s="465"/>
      <c r="E2691" s="465"/>
      <c r="F2691" s="466"/>
      <c r="G2691" s="466"/>
      <c r="J2691" s="441"/>
      <c r="K2691" s="441"/>
      <c r="L2691" s="440"/>
      <c r="O2691" s="442"/>
      <c r="P2691" s="442"/>
      <c r="Q2691" s="467"/>
      <c r="R2691" s="467"/>
    </row>
    <row r="2692" spans="1:18">
      <c r="A2692" s="440"/>
      <c r="B2692" s="460"/>
      <c r="C2692" s="464"/>
      <c r="D2692" s="465"/>
      <c r="E2692" s="465"/>
      <c r="F2692" s="466"/>
      <c r="G2692" s="466"/>
      <c r="J2692" s="441"/>
      <c r="K2692" s="441"/>
      <c r="L2692" s="440"/>
      <c r="O2692" s="442"/>
      <c r="P2692" s="442"/>
      <c r="Q2692" s="467"/>
      <c r="R2692" s="467"/>
    </row>
    <row r="2693" spans="1:18">
      <c r="A2693" s="440"/>
      <c r="B2693" s="460"/>
      <c r="C2693" s="464"/>
      <c r="D2693" s="465"/>
      <c r="E2693" s="465"/>
      <c r="F2693" s="466"/>
      <c r="G2693" s="466"/>
      <c r="J2693" s="441"/>
      <c r="K2693" s="441"/>
      <c r="L2693" s="440"/>
      <c r="O2693" s="442"/>
      <c r="P2693" s="442"/>
      <c r="Q2693" s="467"/>
      <c r="R2693" s="467"/>
    </row>
    <row r="2694" spans="1:18">
      <c r="A2694" s="440"/>
      <c r="B2694" s="460"/>
      <c r="C2694" s="464"/>
      <c r="D2694" s="465"/>
      <c r="E2694" s="465"/>
      <c r="F2694" s="466"/>
      <c r="G2694" s="466"/>
      <c r="J2694" s="441"/>
      <c r="K2694" s="441"/>
      <c r="L2694" s="440"/>
      <c r="O2694" s="442"/>
      <c r="P2694" s="442"/>
      <c r="Q2694" s="467"/>
      <c r="R2694" s="467"/>
    </row>
    <row r="2695" spans="1:18">
      <c r="A2695" s="440"/>
      <c r="B2695" s="460"/>
      <c r="C2695" s="464"/>
      <c r="D2695" s="465"/>
      <c r="E2695" s="465"/>
      <c r="F2695" s="466"/>
      <c r="G2695" s="466"/>
      <c r="J2695" s="441"/>
      <c r="K2695" s="441"/>
      <c r="L2695" s="440"/>
      <c r="O2695" s="442"/>
      <c r="P2695" s="442"/>
      <c r="Q2695" s="467"/>
      <c r="R2695" s="467"/>
    </row>
    <row r="2696" spans="1:18">
      <c r="A2696" s="440"/>
      <c r="B2696" s="460"/>
      <c r="C2696" s="464"/>
      <c r="D2696" s="465"/>
      <c r="E2696" s="465"/>
      <c r="F2696" s="466"/>
      <c r="G2696" s="466"/>
      <c r="J2696" s="441"/>
      <c r="K2696" s="441"/>
      <c r="L2696" s="440"/>
      <c r="O2696" s="442"/>
      <c r="P2696" s="442"/>
      <c r="Q2696" s="467"/>
      <c r="R2696" s="467"/>
    </row>
    <row r="2697" spans="1:18">
      <c r="A2697" s="440"/>
      <c r="B2697" s="460"/>
      <c r="C2697" s="464"/>
      <c r="D2697" s="465"/>
      <c r="E2697" s="465"/>
      <c r="F2697" s="466"/>
      <c r="G2697" s="466"/>
      <c r="J2697" s="441"/>
      <c r="K2697" s="441"/>
      <c r="L2697" s="440"/>
      <c r="O2697" s="442"/>
      <c r="P2697" s="442"/>
      <c r="Q2697" s="467"/>
      <c r="R2697" s="467"/>
    </row>
    <row r="2698" spans="1:18">
      <c r="A2698" s="440"/>
      <c r="B2698" s="460"/>
      <c r="C2698" s="464"/>
      <c r="D2698" s="465"/>
      <c r="E2698" s="465"/>
      <c r="F2698" s="466"/>
      <c r="G2698" s="466"/>
      <c r="J2698" s="441"/>
      <c r="K2698" s="441"/>
      <c r="L2698" s="440"/>
      <c r="O2698" s="442"/>
      <c r="P2698" s="442"/>
      <c r="Q2698" s="467"/>
      <c r="R2698" s="467"/>
    </row>
    <row r="2699" spans="1:18">
      <c r="A2699" s="440"/>
      <c r="B2699" s="460"/>
      <c r="C2699" s="464"/>
      <c r="D2699" s="465"/>
      <c r="E2699" s="465"/>
      <c r="F2699" s="466"/>
      <c r="G2699" s="466"/>
      <c r="J2699" s="441"/>
      <c r="K2699" s="441"/>
      <c r="L2699" s="440"/>
      <c r="O2699" s="442"/>
      <c r="P2699" s="442"/>
      <c r="Q2699" s="467"/>
      <c r="R2699" s="467"/>
    </row>
    <row r="2700" spans="1:18">
      <c r="A2700" s="440"/>
      <c r="B2700" s="460"/>
      <c r="C2700" s="464"/>
      <c r="D2700" s="465"/>
      <c r="E2700" s="465"/>
      <c r="F2700" s="466"/>
      <c r="G2700" s="466"/>
      <c r="J2700" s="441"/>
      <c r="K2700" s="441"/>
      <c r="L2700" s="440"/>
      <c r="O2700" s="442"/>
      <c r="P2700" s="442"/>
      <c r="Q2700" s="467"/>
      <c r="R2700" s="467"/>
    </row>
    <row r="2701" spans="1:18">
      <c r="A2701" s="440"/>
      <c r="B2701" s="460"/>
      <c r="C2701" s="464"/>
      <c r="D2701" s="465"/>
      <c r="E2701" s="465"/>
      <c r="F2701" s="466"/>
      <c r="G2701" s="466"/>
      <c r="J2701" s="441"/>
      <c r="K2701" s="441"/>
      <c r="L2701" s="440"/>
      <c r="O2701" s="442"/>
      <c r="P2701" s="442"/>
      <c r="Q2701" s="467"/>
      <c r="R2701" s="467"/>
    </row>
    <row r="2702" spans="1:18">
      <c r="A2702" s="440"/>
      <c r="B2702" s="460"/>
      <c r="C2702" s="464"/>
      <c r="D2702" s="465"/>
      <c r="E2702" s="465"/>
      <c r="F2702" s="466"/>
      <c r="G2702" s="466"/>
      <c r="J2702" s="441"/>
      <c r="K2702" s="441"/>
      <c r="L2702" s="440"/>
      <c r="O2702" s="442"/>
      <c r="P2702" s="442"/>
      <c r="Q2702" s="467"/>
      <c r="R2702" s="467"/>
    </row>
    <row r="2703" spans="1:18">
      <c r="A2703" s="440"/>
      <c r="B2703" s="460"/>
      <c r="C2703" s="464"/>
      <c r="D2703" s="465"/>
      <c r="E2703" s="465"/>
      <c r="F2703" s="466"/>
      <c r="G2703" s="466"/>
      <c r="J2703" s="441"/>
      <c r="K2703" s="441"/>
      <c r="L2703" s="440"/>
      <c r="O2703" s="442"/>
      <c r="P2703" s="442"/>
      <c r="Q2703" s="467"/>
      <c r="R2703" s="467"/>
    </row>
    <row r="2704" spans="1:18">
      <c r="A2704" s="440"/>
      <c r="B2704" s="460"/>
      <c r="C2704" s="464"/>
      <c r="D2704" s="465"/>
      <c r="E2704" s="465"/>
      <c r="F2704" s="466"/>
      <c r="G2704" s="466"/>
      <c r="J2704" s="441"/>
      <c r="K2704" s="441"/>
      <c r="L2704" s="440"/>
      <c r="O2704" s="442"/>
      <c r="P2704" s="442"/>
      <c r="Q2704" s="467"/>
      <c r="R2704" s="467"/>
    </row>
    <row r="2705" spans="1:18">
      <c r="A2705" s="440"/>
      <c r="B2705" s="460"/>
      <c r="C2705" s="464"/>
      <c r="D2705" s="465"/>
      <c r="E2705" s="465"/>
      <c r="F2705" s="466"/>
      <c r="G2705" s="466"/>
      <c r="J2705" s="441"/>
      <c r="K2705" s="441"/>
      <c r="L2705" s="440"/>
      <c r="O2705" s="442"/>
      <c r="P2705" s="442"/>
      <c r="Q2705" s="467"/>
      <c r="R2705" s="467"/>
    </row>
    <row r="2706" spans="1:18">
      <c r="A2706" s="440"/>
      <c r="B2706" s="460"/>
      <c r="C2706" s="464"/>
      <c r="D2706" s="465"/>
      <c r="E2706" s="465"/>
      <c r="F2706" s="466"/>
      <c r="G2706" s="466"/>
      <c r="J2706" s="441"/>
      <c r="K2706" s="441"/>
      <c r="L2706" s="440"/>
      <c r="O2706" s="442"/>
      <c r="P2706" s="442"/>
      <c r="Q2706" s="467"/>
      <c r="R2706" s="467"/>
    </row>
    <row r="2707" spans="1:18">
      <c r="A2707" s="440"/>
      <c r="B2707" s="460"/>
      <c r="C2707" s="464"/>
      <c r="D2707" s="465"/>
      <c r="E2707" s="465"/>
      <c r="F2707" s="466"/>
      <c r="G2707" s="466"/>
      <c r="J2707" s="441"/>
      <c r="K2707" s="441"/>
      <c r="L2707" s="440"/>
      <c r="O2707" s="442"/>
      <c r="P2707" s="442"/>
      <c r="Q2707" s="467"/>
      <c r="R2707" s="467"/>
    </row>
    <row r="2708" spans="1:18">
      <c r="A2708" s="440"/>
      <c r="B2708" s="460"/>
      <c r="C2708" s="464"/>
      <c r="D2708" s="465"/>
      <c r="E2708" s="465"/>
      <c r="F2708" s="466"/>
      <c r="G2708" s="466"/>
      <c r="J2708" s="441"/>
      <c r="K2708" s="441"/>
      <c r="L2708" s="440"/>
      <c r="O2708" s="442"/>
      <c r="P2708" s="442"/>
      <c r="Q2708" s="467"/>
      <c r="R2708" s="467"/>
    </row>
    <row r="2709" spans="1:18">
      <c r="A2709" s="440"/>
      <c r="B2709" s="460"/>
      <c r="C2709" s="464"/>
      <c r="D2709" s="465"/>
      <c r="E2709" s="465"/>
      <c r="F2709" s="466"/>
      <c r="G2709" s="466"/>
      <c r="J2709" s="441"/>
      <c r="K2709" s="441"/>
      <c r="L2709" s="440"/>
      <c r="O2709" s="442"/>
      <c r="P2709" s="442"/>
      <c r="Q2709" s="467"/>
      <c r="R2709" s="467"/>
    </row>
    <row r="2710" spans="1:18">
      <c r="A2710" s="440"/>
      <c r="B2710" s="460"/>
      <c r="C2710" s="464"/>
      <c r="D2710" s="465"/>
      <c r="E2710" s="465"/>
      <c r="F2710" s="466"/>
      <c r="G2710" s="466"/>
      <c r="J2710" s="441"/>
      <c r="K2710" s="441"/>
      <c r="L2710" s="440"/>
      <c r="O2710" s="442"/>
      <c r="P2710" s="442"/>
      <c r="Q2710" s="467"/>
      <c r="R2710" s="467"/>
    </row>
    <row r="2711" spans="1:18">
      <c r="A2711" s="440"/>
      <c r="B2711" s="460"/>
      <c r="C2711" s="464"/>
      <c r="D2711" s="465"/>
      <c r="E2711" s="465"/>
      <c r="F2711" s="466"/>
      <c r="G2711" s="466"/>
      <c r="J2711" s="441"/>
      <c r="K2711" s="441"/>
      <c r="L2711" s="440"/>
      <c r="O2711" s="442"/>
      <c r="P2711" s="442"/>
      <c r="Q2711" s="467"/>
      <c r="R2711" s="467"/>
    </row>
    <row r="2712" spans="1:18">
      <c r="A2712" s="440"/>
      <c r="B2712" s="460"/>
      <c r="C2712" s="464"/>
      <c r="D2712" s="465"/>
      <c r="E2712" s="465"/>
      <c r="F2712" s="466"/>
      <c r="G2712" s="466"/>
      <c r="J2712" s="441"/>
      <c r="K2712" s="441"/>
      <c r="L2712" s="440"/>
      <c r="O2712" s="442"/>
      <c r="P2712" s="442"/>
      <c r="Q2712" s="467"/>
      <c r="R2712" s="467"/>
    </row>
    <row r="2713" spans="1:18">
      <c r="A2713" s="440"/>
      <c r="B2713" s="460"/>
      <c r="C2713" s="464"/>
      <c r="D2713" s="465"/>
      <c r="E2713" s="465"/>
      <c r="F2713" s="466"/>
      <c r="G2713" s="466"/>
      <c r="J2713" s="441"/>
      <c r="K2713" s="441"/>
      <c r="L2713" s="440"/>
      <c r="O2713" s="442"/>
      <c r="P2713" s="442"/>
      <c r="Q2713" s="467"/>
      <c r="R2713" s="467"/>
    </row>
    <row r="2714" spans="1:18">
      <c r="A2714" s="440"/>
      <c r="B2714" s="460"/>
      <c r="C2714" s="464"/>
      <c r="D2714" s="465"/>
      <c r="E2714" s="465"/>
      <c r="F2714" s="466"/>
      <c r="G2714" s="466"/>
      <c r="J2714" s="441"/>
      <c r="K2714" s="441"/>
      <c r="L2714" s="440"/>
      <c r="O2714" s="442"/>
      <c r="P2714" s="442"/>
      <c r="Q2714" s="467"/>
      <c r="R2714" s="467"/>
    </row>
    <row r="2715" spans="1:18">
      <c r="A2715" s="440"/>
      <c r="B2715" s="460"/>
      <c r="C2715" s="464"/>
      <c r="D2715" s="465"/>
      <c r="E2715" s="465"/>
      <c r="F2715" s="466"/>
      <c r="G2715" s="466"/>
      <c r="J2715" s="441"/>
      <c r="K2715" s="441"/>
      <c r="L2715" s="440"/>
      <c r="O2715" s="442"/>
      <c r="P2715" s="442"/>
      <c r="Q2715" s="467"/>
      <c r="R2715" s="467"/>
    </row>
    <row r="2716" spans="1:18">
      <c r="A2716" s="440"/>
      <c r="B2716" s="460"/>
      <c r="C2716" s="464"/>
      <c r="D2716" s="465"/>
      <c r="E2716" s="465"/>
      <c r="F2716" s="466"/>
      <c r="G2716" s="466"/>
      <c r="J2716" s="441"/>
      <c r="K2716" s="441"/>
      <c r="L2716" s="440"/>
      <c r="O2716" s="442"/>
      <c r="P2716" s="442"/>
      <c r="Q2716" s="467"/>
      <c r="R2716" s="467"/>
    </row>
    <row r="2717" spans="1:18">
      <c r="A2717" s="440"/>
      <c r="B2717" s="460"/>
      <c r="C2717" s="464"/>
      <c r="D2717" s="465"/>
      <c r="E2717" s="465"/>
      <c r="F2717" s="466"/>
      <c r="G2717" s="466"/>
      <c r="J2717" s="441"/>
      <c r="K2717" s="441"/>
      <c r="L2717" s="440"/>
      <c r="O2717" s="442"/>
      <c r="P2717" s="442"/>
      <c r="Q2717" s="467"/>
      <c r="R2717" s="467"/>
    </row>
    <row r="2718" spans="1:18">
      <c r="A2718" s="440"/>
      <c r="B2718" s="460"/>
      <c r="C2718" s="464"/>
      <c r="D2718" s="465"/>
      <c r="E2718" s="465"/>
      <c r="F2718" s="466"/>
      <c r="G2718" s="466"/>
      <c r="J2718" s="441"/>
      <c r="K2718" s="441"/>
      <c r="L2718" s="440"/>
      <c r="O2718" s="442"/>
      <c r="P2718" s="442"/>
      <c r="Q2718" s="467"/>
      <c r="R2718" s="467"/>
    </row>
    <row r="2719" spans="1:18">
      <c r="A2719" s="440"/>
      <c r="B2719" s="460"/>
      <c r="C2719" s="464"/>
      <c r="D2719" s="465"/>
      <c r="E2719" s="465"/>
      <c r="F2719" s="466"/>
      <c r="G2719" s="466"/>
      <c r="J2719" s="441"/>
      <c r="K2719" s="441"/>
      <c r="L2719" s="440"/>
      <c r="O2719" s="442"/>
      <c r="P2719" s="442"/>
      <c r="Q2719" s="467"/>
      <c r="R2719" s="467"/>
    </row>
    <row r="2720" spans="1:18">
      <c r="A2720" s="440"/>
      <c r="B2720" s="460"/>
      <c r="C2720" s="464"/>
      <c r="D2720" s="465"/>
      <c r="E2720" s="465"/>
      <c r="F2720" s="466"/>
      <c r="G2720" s="466"/>
      <c r="J2720" s="441"/>
      <c r="K2720" s="441"/>
      <c r="L2720" s="440"/>
      <c r="O2720" s="442"/>
      <c r="P2720" s="442"/>
      <c r="Q2720" s="467"/>
      <c r="R2720" s="467"/>
    </row>
    <row r="2721" spans="1:18">
      <c r="A2721" s="440"/>
      <c r="B2721" s="460"/>
      <c r="C2721" s="464"/>
      <c r="D2721" s="465"/>
      <c r="E2721" s="465"/>
      <c r="F2721" s="466"/>
      <c r="G2721" s="466"/>
      <c r="J2721" s="441"/>
      <c r="K2721" s="441"/>
      <c r="L2721" s="440"/>
      <c r="O2721" s="442"/>
      <c r="P2721" s="442"/>
      <c r="Q2721" s="467"/>
      <c r="R2721" s="467"/>
    </row>
    <row r="2722" spans="1:18">
      <c r="A2722" s="440"/>
      <c r="B2722" s="460"/>
      <c r="C2722" s="464"/>
      <c r="D2722" s="465"/>
      <c r="E2722" s="465"/>
      <c r="F2722" s="466"/>
      <c r="G2722" s="466"/>
      <c r="J2722" s="441"/>
      <c r="K2722" s="441"/>
      <c r="L2722" s="440"/>
      <c r="O2722" s="442"/>
      <c r="P2722" s="442"/>
      <c r="Q2722" s="467"/>
      <c r="R2722" s="467"/>
    </row>
    <row r="2723" spans="1:18">
      <c r="A2723" s="440"/>
      <c r="B2723" s="460"/>
      <c r="C2723" s="464"/>
      <c r="D2723" s="465"/>
      <c r="E2723" s="465"/>
      <c r="F2723" s="466"/>
      <c r="G2723" s="466"/>
      <c r="J2723" s="441"/>
      <c r="K2723" s="441"/>
      <c r="L2723" s="440"/>
      <c r="O2723" s="442"/>
      <c r="P2723" s="442"/>
      <c r="Q2723" s="467"/>
      <c r="R2723" s="467"/>
    </row>
    <row r="2724" spans="1:18">
      <c r="A2724" s="440"/>
      <c r="B2724" s="460"/>
      <c r="C2724" s="464"/>
      <c r="D2724" s="465"/>
      <c r="E2724" s="465"/>
      <c r="F2724" s="466"/>
      <c r="G2724" s="466"/>
      <c r="J2724" s="441"/>
      <c r="K2724" s="441"/>
      <c r="L2724" s="440"/>
      <c r="O2724" s="442"/>
      <c r="P2724" s="442"/>
      <c r="Q2724" s="467"/>
      <c r="R2724" s="467"/>
    </row>
    <row r="2725" spans="1:18">
      <c r="A2725" s="440"/>
      <c r="B2725" s="460"/>
      <c r="C2725" s="464"/>
      <c r="D2725" s="465"/>
      <c r="E2725" s="465"/>
      <c r="F2725" s="466"/>
      <c r="G2725" s="466"/>
      <c r="J2725" s="441"/>
      <c r="K2725" s="441"/>
      <c r="L2725" s="440"/>
      <c r="O2725" s="442"/>
      <c r="P2725" s="442"/>
      <c r="Q2725" s="467"/>
      <c r="R2725" s="467"/>
    </row>
    <row r="2726" spans="1:18">
      <c r="A2726" s="440"/>
      <c r="B2726" s="460"/>
      <c r="C2726" s="464"/>
      <c r="D2726" s="465"/>
      <c r="E2726" s="465"/>
      <c r="F2726" s="466"/>
      <c r="G2726" s="466"/>
      <c r="J2726" s="441"/>
      <c r="K2726" s="441"/>
      <c r="L2726" s="440"/>
      <c r="O2726" s="442"/>
      <c r="P2726" s="442"/>
      <c r="Q2726" s="467"/>
      <c r="R2726" s="467"/>
    </row>
    <row r="2727" spans="1:18">
      <c r="A2727" s="440"/>
      <c r="B2727" s="460"/>
      <c r="C2727" s="464"/>
      <c r="D2727" s="465"/>
      <c r="E2727" s="465"/>
      <c r="F2727" s="466"/>
      <c r="G2727" s="466"/>
      <c r="J2727" s="441"/>
      <c r="K2727" s="441"/>
      <c r="L2727" s="440"/>
      <c r="O2727" s="442"/>
      <c r="P2727" s="442"/>
      <c r="Q2727" s="467"/>
      <c r="R2727" s="467"/>
    </row>
    <row r="2728" spans="1:18">
      <c r="A2728" s="440"/>
      <c r="B2728" s="460"/>
      <c r="C2728" s="464"/>
      <c r="D2728" s="465"/>
      <c r="E2728" s="465"/>
      <c r="F2728" s="466"/>
      <c r="G2728" s="466"/>
      <c r="J2728" s="441"/>
      <c r="K2728" s="441"/>
      <c r="L2728" s="440"/>
      <c r="O2728" s="442"/>
      <c r="P2728" s="442"/>
      <c r="Q2728" s="467"/>
      <c r="R2728" s="467"/>
    </row>
    <row r="2729" spans="1:18">
      <c r="A2729" s="440"/>
      <c r="B2729" s="460"/>
      <c r="C2729" s="464"/>
      <c r="D2729" s="465"/>
      <c r="E2729" s="465"/>
      <c r="F2729" s="466"/>
      <c r="G2729" s="466"/>
      <c r="J2729" s="441"/>
      <c r="K2729" s="441"/>
      <c r="L2729" s="440"/>
      <c r="O2729" s="442"/>
      <c r="P2729" s="442"/>
      <c r="Q2729" s="467"/>
      <c r="R2729" s="467"/>
    </row>
    <row r="2730" spans="1:18">
      <c r="A2730" s="440"/>
      <c r="B2730" s="460"/>
      <c r="C2730" s="464"/>
      <c r="D2730" s="465"/>
      <c r="E2730" s="465"/>
      <c r="F2730" s="466"/>
      <c r="G2730" s="466"/>
      <c r="J2730" s="441"/>
      <c r="K2730" s="441"/>
      <c r="L2730" s="440"/>
      <c r="O2730" s="442"/>
      <c r="P2730" s="442"/>
      <c r="Q2730" s="467"/>
      <c r="R2730" s="467"/>
    </row>
    <row r="2731" spans="1:18">
      <c r="A2731" s="440"/>
      <c r="B2731" s="460"/>
      <c r="C2731" s="464"/>
      <c r="D2731" s="465"/>
      <c r="E2731" s="465"/>
      <c r="F2731" s="466"/>
      <c r="G2731" s="466"/>
      <c r="J2731" s="441"/>
      <c r="K2731" s="441"/>
      <c r="L2731" s="440"/>
      <c r="O2731" s="442"/>
      <c r="P2731" s="442"/>
      <c r="Q2731" s="467"/>
      <c r="R2731" s="467"/>
    </row>
    <row r="2732" spans="1:18">
      <c r="A2732" s="440"/>
      <c r="B2732" s="460"/>
      <c r="C2732" s="464"/>
      <c r="D2732" s="465"/>
      <c r="E2732" s="465"/>
      <c r="F2732" s="466"/>
      <c r="G2732" s="466"/>
      <c r="J2732" s="441"/>
      <c r="K2732" s="441"/>
      <c r="L2732" s="440"/>
      <c r="O2732" s="442"/>
      <c r="P2732" s="442"/>
      <c r="Q2732" s="467"/>
      <c r="R2732" s="467"/>
    </row>
    <row r="2733" spans="1:18">
      <c r="A2733" s="440"/>
      <c r="B2733" s="460"/>
      <c r="C2733" s="464"/>
      <c r="D2733" s="465"/>
      <c r="E2733" s="465"/>
      <c r="F2733" s="466"/>
      <c r="G2733" s="466"/>
      <c r="J2733" s="441"/>
      <c r="K2733" s="441"/>
      <c r="L2733" s="440"/>
      <c r="O2733" s="442"/>
      <c r="P2733" s="442"/>
      <c r="Q2733" s="467"/>
      <c r="R2733" s="467"/>
    </row>
    <row r="2734" spans="1:18">
      <c r="A2734" s="440"/>
      <c r="B2734" s="460"/>
      <c r="C2734" s="464"/>
      <c r="D2734" s="465"/>
      <c r="E2734" s="465"/>
      <c r="F2734" s="466"/>
      <c r="G2734" s="466"/>
      <c r="J2734" s="441"/>
      <c r="K2734" s="441"/>
      <c r="L2734" s="440"/>
      <c r="O2734" s="442"/>
      <c r="P2734" s="442"/>
      <c r="Q2734" s="467"/>
      <c r="R2734" s="467"/>
    </row>
    <row r="2735" spans="1:18">
      <c r="A2735" s="440"/>
      <c r="B2735" s="460"/>
      <c r="C2735" s="464"/>
      <c r="D2735" s="465"/>
      <c r="E2735" s="465"/>
      <c r="F2735" s="466"/>
      <c r="G2735" s="466"/>
      <c r="J2735" s="441"/>
      <c r="K2735" s="441"/>
      <c r="L2735" s="440"/>
      <c r="O2735" s="442"/>
      <c r="P2735" s="442"/>
      <c r="Q2735" s="467"/>
      <c r="R2735" s="467"/>
    </row>
    <row r="2736" spans="1:18">
      <c r="A2736" s="440"/>
      <c r="B2736" s="460"/>
      <c r="C2736" s="464"/>
      <c r="D2736" s="465"/>
      <c r="E2736" s="465"/>
      <c r="F2736" s="466"/>
      <c r="G2736" s="466"/>
      <c r="J2736" s="441"/>
      <c r="K2736" s="441"/>
      <c r="L2736" s="440"/>
      <c r="O2736" s="442"/>
      <c r="P2736" s="442"/>
      <c r="Q2736" s="467"/>
      <c r="R2736" s="467"/>
    </row>
    <row r="2737" spans="1:18">
      <c r="A2737" s="440"/>
      <c r="B2737" s="460"/>
      <c r="C2737" s="464"/>
      <c r="D2737" s="465"/>
      <c r="E2737" s="465"/>
      <c r="F2737" s="466"/>
      <c r="G2737" s="466"/>
      <c r="J2737" s="441"/>
      <c r="K2737" s="441"/>
      <c r="L2737" s="440"/>
      <c r="O2737" s="442"/>
      <c r="P2737" s="442"/>
      <c r="Q2737" s="467"/>
      <c r="R2737" s="467"/>
    </row>
    <row r="2738" spans="1:18">
      <c r="A2738" s="440"/>
      <c r="B2738" s="460"/>
      <c r="C2738" s="464"/>
      <c r="D2738" s="465"/>
      <c r="E2738" s="465"/>
      <c r="F2738" s="466"/>
      <c r="G2738" s="466"/>
      <c r="J2738" s="441"/>
      <c r="K2738" s="441"/>
      <c r="L2738" s="440"/>
      <c r="O2738" s="442"/>
      <c r="P2738" s="442"/>
      <c r="Q2738" s="467"/>
      <c r="R2738" s="467"/>
    </row>
    <row r="2739" spans="1:18">
      <c r="A2739" s="440"/>
      <c r="B2739" s="460"/>
      <c r="C2739" s="464"/>
      <c r="D2739" s="465"/>
      <c r="E2739" s="465"/>
      <c r="F2739" s="466"/>
      <c r="G2739" s="466"/>
      <c r="J2739" s="441"/>
      <c r="K2739" s="441"/>
      <c r="L2739" s="440"/>
      <c r="O2739" s="442"/>
      <c r="P2739" s="442"/>
      <c r="Q2739" s="467"/>
      <c r="R2739" s="467"/>
    </row>
    <row r="2740" spans="1:18">
      <c r="A2740" s="440"/>
      <c r="B2740" s="460"/>
      <c r="C2740" s="464"/>
      <c r="D2740" s="465"/>
      <c r="E2740" s="465"/>
      <c r="F2740" s="466"/>
      <c r="G2740" s="466"/>
      <c r="J2740" s="441"/>
      <c r="K2740" s="441"/>
      <c r="L2740" s="440"/>
      <c r="O2740" s="442"/>
      <c r="P2740" s="442"/>
      <c r="Q2740" s="467"/>
      <c r="R2740" s="467"/>
    </row>
    <row r="2741" spans="1:18">
      <c r="A2741" s="440"/>
      <c r="B2741" s="460"/>
      <c r="C2741" s="464"/>
      <c r="D2741" s="465"/>
      <c r="E2741" s="465"/>
      <c r="F2741" s="466"/>
      <c r="G2741" s="466"/>
      <c r="J2741" s="441"/>
      <c r="K2741" s="441"/>
      <c r="L2741" s="440"/>
      <c r="O2741" s="442"/>
      <c r="P2741" s="442"/>
      <c r="Q2741" s="467"/>
      <c r="R2741" s="467"/>
    </row>
    <row r="2742" spans="1:18">
      <c r="A2742" s="440"/>
      <c r="B2742" s="460"/>
      <c r="C2742" s="464"/>
      <c r="D2742" s="465"/>
      <c r="E2742" s="465"/>
      <c r="F2742" s="466"/>
      <c r="G2742" s="466"/>
      <c r="J2742" s="441"/>
      <c r="K2742" s="441"/>
      <c r="L2742" s="440"/>
      <c r="O2742" s="442"/>
      <c r="P2742" s="442"/>
      <c r="Q2742" s="467"/>
      <c r="R2742" s="467"/>
    </row>
    <row r="2743" spans="1:18">
      <c r="A2743" s="440"/>
      <c r="B2743" s="460"/>
      <c r="C2743" s="464"/>
      <c r="D2743" s="465"/>
      <c r="E2743" s="465"/>
      <c r="F2743" s="466"/>
      <c r="G2743" s="466"/>
      <c r="J2743" s="441"/>
      <c r="K2743" s="441"/>
      <c r="L2743" s="440"/>
      <c r="O2743" s="442"/>
      <c r="P2743" s="442"/>
      <c r="Q2743" s="467"/>
      <c r="R2743" s="467"/>
    </row>
    <row r="2744" spans="1:18">
      <c r="A2744" s="440"/>
      <c r="B2744" s="460"/>
      <c r="C2744" s="464"/>
      <c r="D2744" s="465"/>
      <c r="E2744" s="465"/>
      <c r="F2744" s="466"/>
      <c r="G2744" s="466"/>
      <c r="J2744" s="441"/>
      <c r="K2744" s="441"/>
      <c r="L2744" s="440"/>
      <c r="O2744" s="442"/>
      <c r="P2744" s="442"/>
      <c r="Q2744" s="467"/>
      <c r="R2744" s="467"/>
    </row>
    <row r="2745" spans="1:18">
      <c r="A2745" s="440"/>
      <c r="B2745" s="460"/>
      <c r="C2745" s="464"/>
      <c r="D2745" s="465"/>
      <c r="E2745" s="465"/>
      <c r="F2745" s="466"/>
      <c r="G2745" s="466"/>
      <c r="J2745" s="441"/>
      <c r="K2745" s="441"/>
      <c r="L2745" s="440"/>
      <c r="O2745" s="442"/>
      <c r="P2745" s="442"/>
      <c r="Q2745" s="467"/>
      <c r="R2745" s="467"/>
    </row>
    <row r="2746" spans="1:18">
      <c r="A2746" s="440"/>
      <c r="B2746" s="460"/>
      <c r="C2746" s="464"/>
      <c r="D2746" s="465"/>
      <c r="E2746" s="465"/>
      <c r="F2746" s="466"/>
      <c r="G2746" s="466"/>
      <c r="J2746" s="441"/>
      <c r="K2746" s="441"/>
      <c r="L2746" s="440"/>
      <c r="O2746" s="442"/>
      <c r="P2746" s="442"/>
      <c r="Q2746" s="467"/>
      <c r="R2746" s="467"/>
    </row>
    <row r="2747" spans="1:18">
      <c r="A2747" s="440"/>
      <c r="B2747" s="460"/>
      <c r="C2747" s="464"/>
      <c r="D2747" s="465"/>
      <c r="E2747" s="465"/>
      <c r="F2747" s="466"/>
      <c r="G2747" s="466"/>
      <c r="J2747" s="441"/>
      <c r="K2747" s="441"/>
      <c r="L2747" s="440"/>
      <c r="O2747" s="442"/>
      <c r="P2747" s="442"/>
      <c r="Q2747" s="467"/>
      <c r="R2747" s="467"/>
    </row>
    <row r="2748" spans="1:18">
      <c r="A2748" s="440"/>
      <c r="B2748" s="460"/>
      <c r="C2748" s="464"/>
      <c r="D2748" s="465"/>
      <c r="E2748" s="465"/>
      <c r="F2748" s="466"/>
      <c r="G2748" s="466"/>
      <c r="J2748" s="441"/>
      <c r="K2748" s="441"/>
      <c r="L2748" s="440"/>
      <c r="O2748" s="442"/>
      <c r="P2748" s="442"/>
      <c r="Q2748" s="467"/>
      <c r="R2748" s="467"/>
    </row>
    <row r="2749" spans="1:18">
      <c r="A2749" s="440"/>
      <c r="B2749" s="460"/>
      <c r="C2749" s="464"/>
      <c r="D2749" s="465"/>
      <c r="E2749" s="465"/>
      <c r="F2749" s="466"/>
      <c r="G2749" s="466"/>
      <c r="J2749" s="441"/>
      <c r="K2749" s="441"/>
      <c r="L2749" s="440"/>
      <c r="O2749" s="442"/>
      <c r="P2749" s="442"/>
      <c r="Q2749" s="467"/>
      <c r="R2749" s="467"/>
    </row>
    <row r="2750" spans="1:18">
      <c r="A2750" s="440"/>
      <c r="B2750" s="460"/>
      <c r="C2750" s="464"/>
      <c r="D2750" s="465"/>
      <c r="E2750" s="465"/>
      <c r="F2750" s="466"/>
      <c r="G2750" s="466"/>
      <c r="J2750" s="441"/>
      <c r="K2750" s="441"/>
      <c r="L2750" s="440"/>
      <c r="O2750" s="442"/>
      <c r="P2750" s="442"/>
      <c r="Q2750" s="467"/>
      <c r="R2750" s="467"/>
    </row>
    <row r="2751" spans="1:18">
      <c r="A2751" s="440"/>
      <c r="B2751" s="460"/>
      <c r="C2751" s="464"/>
      <c r="D2751" s="465"/>
      <c r="E2751" s="465"/>
      <c r="F2751" s="466"/>
      <c r="G2751" s="466"/>
      <c r="J2751" s="441"/>
      <c r="K2751" s="441"/>
      <c r="L2751" s="440"/>
      <c r="O2751" s="442"/>
      <c r="P2751" s="442"/>
      <c r="Q2751" s="467"/>
      <c r="R2751" s="467"/>
    </row>
    <row r="2752" spans="1:18">
      <c r="A2752" s="440"/>
      <c r="B2752" s="460"/>
      <c r="C2752" s="464"/>
      <c r="D2752" s="465"/>
      <c r="E2752" s="465"/>
      <c r="F2752" s="466"/>
      <c r="G2752" s="466"/>
      <c r="J2752" s="441"/>
      <c r="K2752" s="441"/>
      <c r="L2752" s="440"/>
      <c r="O2752" s="442"/>
      <c r="P2752" s="442"/>
      <c r="Q2752" s="467"/>
      <c r="R2752" s="467"/>
    </row>
    <row r="2753" spans="1:18">
      <c r="A2753" s="440"/>
      <c r="B2753" s="460"/>
      <c r="C2753" s="464"/>
      <c r="D2753" s="465"/>
      <c r="E2753" s="465"/>
      <c r="F2753" s="466"/>
      <c r="G2753" s="466"/>
      <c r="J2753" s="441"/>
      <c r="K2753" s="441"/>
      <c r="L2753" s="440"/>
      <c r="O2753" s="442"/>
      <c r="P2753" s="442"/>
      <c r="Q2753" s="467"/>
      <c r="R2753" s="467"/>
    </row>
    <row r="2754" spans="1:18">
      <c r="A2754" s="440"/>
      <c r="B2754" s="460"/>
      <c r="C2754" s="464"/>
      <c r="D2754" s="465"/>
      <c r="E2754" s="465"/>
      <c r="F2754" s="466"/>
      <c r="G2754" s="466"/>
      <c r="J2754" s="441"/>
      <c r="K2754" s="441"/>
      <c r="L2754" s="440"/>
      <c r="O2754" s="442"/>
      <c r="P2754" s="442"/>
      <c r="Q2754" s="467"/>
      <c r="R2754" s="467"/>
    </row>
    <row r="2755" spans="1:18">
      <c r="A2755" s="440"/>
      <c r="B2755" s="460"/>
      <c r="C2755" s="464"/>
      <c r="D2755" s="465"/>
      <c r="E2755" s="465"/>
      <c r="F2755" s="466"/>
      <c r="G2755" s="466"/>
      <c r="J2755" s="441"/>
      <c r="K2755" s="441"/>
      <c r="L2755" s="440"/>
      <c r="O2755" s="442"/>
      <c r="P2755" s="442"/>
      <c r="Q2755" s="467"/>
      <c r="R2755" s="467"/>
    </row>
    <row r="2756" spans="1:18">
      <c r="A2756" s="440"/>
      <c r="B2756" s="460"/>
      <c r="C2756" s="464"/>
      <c r="D2756" s="465"/>
      <c r="E2756" s="465"/>
      <c r="F2756" s="466"/>
      <c r="G2756" s="466"/>
      <c r="J2756" s="441"/>
      <c r="K2756" s="441"/>
      <c r="L2756" s="440"/>
      <c r="O2756" s="442"/>
      <c r="P2756" s="442"/>
      <c r="Q2756" s="467"/>
      <c r="R2756" s="467"/>
    </row>
    <row r="2757" spans="1:18">
      <c r="A2757" s="440"/>
      <c r="B2757" s="460"/>
      <c r="C2757" s="464"/>
      <c r="D2757" s="465"/>
      <c r="E2757" s="465"/>
      <c r="F2757" s="466"/>
      <c r="G2757" s="466"/>
      <c r="J2757" s="441"/>
      <c r="K2757" s="441"/>
      <c r="L2757" s="440"/>
      <c r="O2757" s="442"/>
      <c r="P2757" s="442"/>
      <c r="Q2757" s="467"/>
      <c r="R2757" s="467"/>
    </row>
    <row r="2758" spans="1:18">
      <c r="A2758" s="440"/>
      <c r="B2758" s="460"/>
      <c r="C2758" s="464"/>
      <c r="D2758" s="465"/>
      <c r="E2758" s="465"/>
      <c r="F2758" s="466"/>
      <c r="G2758" s="466"/>
      <c r="J2758" s="441"/>
      <c r="K2758" s="441"/>
      <c r="L2758" s="440"/>
      <c r="O2758" s="442"/>
      <c r="P2758" s="442"/>
      <c r="Q2758" s="467"/>
      <c r="R2758" s="467"/>
    </row>
    <row r="2759" spans="1:18">
      <c r="A2759" s="440"/>
      <c r="B2759" s="460"/>
      <c r="C2759" s="464"/>
      <c r="D2759" s="465"/>
      <c r="E2759" s="465"/>
      <c r="F2759" s="466"/>
      <c r="G2759" s="466"/>
      <c r="J2759" s="441"/>
      <c r="K2759" s="441"/>
      <c r="L2759" s="440"/>
      <c r="O2759" s="442"/>
      <c r="P2759" s="442"/>
      <c r="Q2759" s="467"/>
      <c r="R2759" s="467"/>
    </row>
    <row r="2760" spans="1:18">
      <c r="A2760" s="440"/>
      <c r="B2760" s="460"/>
      <c r="C2760" s="464"/>
      <c r="D2760" s="465"/>
      <c r="E2760" s="465"/>
      <c r="F2760" s="466"/>
      <c r="G2760" s="466"/>
      <c r="J2760" s="441"/>
      <c r="K2760" s="441"/>
      <c r="L2760" s="440"/>
      <c r="O2760" s="442"/>
      <c r="P2760" s="442"/>
      <c r="Q2760" s="467"/>
      <c r="R2760" s="467"/>
    </row>
    <row r="2761" spans="1:18">
      <c r="A2761" s="440"/>
      <c r="B2761" s="460"/>
      <c r="C2761" s="464"/>
      <c r="D2761" s="465"/>
      <c r="E2761" s="465"/>
      <c r="F2761" s="466"/>
      <c r="G2761" s="466"/>
      <c r="J2761" s="441"/>
      <c r="K2761" s="441"/>
      <c r="L2761" s="440"/>
      <c r="O2761" s="442"/>
      <c r="P2761" s="442"/>
      <c r="Q2761" s="467"/>
      <c r="R2761" s="467"/>
    </row>
    <row r="2762" spans="1:18">
      <c r="A2762" s="440"/>
      <c r="B2762" s="460"/>
      <c r="C2762" s="464"/>
      <c r="D2762" s="465"/>
      <c r="E2762" s="465"/>
      <c r="F2762" s="466"/>
      <c r="G2762" s="466"/>
      <c r="J2762" s="441"/>
      <c r="K2762" s="441"/>
      <c r="L2762" s="440"/>
      <c r="O2762" s="442"/>
      <c r="P2762" s="442"/>
      <c r="Q2762" s="467"/>
      <c r="R2762" s="467"/>
    </row>
    <row r="2763" spans="1:18">
      <c r="A2763" s="440"/>
      <c r="B2763" s="460"/>
      <c r="C2763" s="464"/>
      <c r="D2763" s="465"/>
      <c r="E2763" s="465"/>
      <c r="F2763" s="466"/>
      <c r="G2763" s="466"/>
      <c r="J2763" s="441"/>
      <c r="K2763" s="441"/>
      <c r="L2763" s="440"/>
      <c r="O2763" s="442"/>
      <c r="P2763" s="442"/>
      <c r="Q2763" s="467"/>
      <c r="R2763" s="467"/>
    </row>
    <row r="2764" spans="1:18">
      <c r="A2764" s="440"/>
      <c r="B2764" s="460"/>
      <c r="C2764" s="464"/>
      <c r="D2764" s="465"/>
      <c r="E2764" s="465"/>
      <c r="F2764" s="466"/>
      <c r="G2764" s="466"/>
      <c r="J2764" s="441"/>
      <c r="K2764" s="441"/>
      <c r="L2764" s="440"/>
      <c r="O2764" s="442"/>
      <c r="P2764" s="442"/>
      <c r="Q2764" s="467"/>
      <c r="R2764" s="467"/>
    </row>
    <row r="2765" spans="1:18">
      <c r="A2765" s="440"/>
      <c r="B2765" s="460"/>
      <c r="C2765" s="464"/>
      <c r="D2765" s="465"/>
      <c r="E2765" s="465"/>
      <c r="F2765" s="466"/>
      <c r="G2765" s="466"/>
      <c r="J2765" s="441"/>
      <c r="K2765" s="441"/>
      <c r="L2765" s="440"/>
      <c r="O2765" s="442"/>
      <c r="P2765" s="442"/>
      <c r="Q2765" s="467"/>
      <c r="R2765" s="467"/>
    </row>
    <row r="2766" spans="1:18">
      <c r="A2766" s="440"/>
      <c r="B2766" s="460"/>
      <c r="C2766" s="464"/>
      <c r="D2766" s="465"/>
      <c r="E2766" s="465"/>
      <c r="F2766" s="466"/>
      <c r="G2766" s="466"/>
      <c r="J2766" s="441"/>
      <c r="K2766" s="441"/>
      <c r="L2766" s="440"/>
      <c r="O2766" s="442"/>
      <c r="P2766" s="442"/>
      <c r="Q2766" s="467"/>
      <c r="R2766" s="467"/>
    </row>
    <row r="2767" spans="1:18">
      <c r="A2767" s="440"/>
      <c r="B2767" s="460"/>
      <c r="C2767" s="464"/>
      <c r="D2767" s="465"/>
      <c r="E2767" s="465"/>
      <c r="F2767" s="466"/>
      <c r="G2767" s="466"/>
      <c r="J2767" s="441"/>
      <c r="K2767" s="441"/>
      <c r="L2767" s="440"/>
      <c r="O2767" s="442"/>
      <c r="P2767" s="442"/>
      <c r="Q2767" s="467"/>
      <c r="R2767" s="467"/>
    </row>
    <row r="2768" spans="1:18">
      <c r="A2768" s="440"/>
      <c r="B2768" s="460"/>
      <c r="C2768" s="464"/>
      <c r="D2768" s="465"/>
      <c r="E2768" s="465"/>
      <c r="F2768" s="466"/>
      <c r="G2768" s="466"/>
      <c r="J2768" s="441"/>
      <c r="K2768" s="441"/>
      <c r="L2768" s="440"/>
      <c r="O2768" s="442"/>
      <c r="P2768" s="442"/>
      <c r="Q2768" s="467"/>
      <c r="R2768" s="467"/>
    </row>
    <row r="2769" spans="1:18">
      <c r="A2769" s="440"/>
      <c r="B2769" s="460"/>
      <c r="C2769" s="464"/>
      <c r="D2769" s="465"/>
      <c r="E2769" s="465"/>
      <c r="F2769" s="466"/>
      <c r="G2769" s="466"/>
      <c r="J2769" s="441"/>
      <c r="K2769" s="441"/>
      <c r="L2769" s="440"/>
      <c r="O2769" s="442"/>
      <c r="P2769" s="442"/>
      <c r="Q2769" s="467"/>
      <c r="R2769" s="467"/>
    </row>
    <row r="2770" spans="1:18">
      <c r="A2770" s="440"/>
      <c r="B2770" s="460"/>
      <c r="C2770" s="464"/>
      <c r="D2770" s="465"/>
      <c r="E2770" s="465"/>
      <c r="F2770" s="466"/>
      <c r="G2770" s="466"/>
      <c r="J2770" s="441"/>
      <c r="K2770" s="441"/>
      <c r="L2770" s="440"/>
      <c r="O2770" s="442"/>
      <c r="P2770" s="442"/>
      <c r="Q2770" s="467"/>
      <c r="R2770" s="467"/>
    </row>
    <row r="2771" spans="1:18">
      <c r="A2771" s="440"/>
      <c r="B2771" s="460"/>
      <c r="C2771" s="464"/>
      <c r="D2771" s="465"/>
      <c r="E2771" s="465"/>
      <c r="F2771" s="466"/>
      <c r="G2771" s="466"/>
      <c r="J2771" s="441"/>
      <c r="K2771" s="441"/>
      <c r="L2771" s="440"/>
      <c r="O2771" s="442"/>
      <c r="P2771" s="442"/>
      <c r="Q2771" s="467"/>
      <c r="R2771" s="467"/>
    </row>
    <row r="2772" spans="1:18">
      <c r="A2772" s="440"/>
      <c r="B2772" s="460"/>
      <c r="C2772" s="464"/>
      <c r="D2772" s="465"/>
      <c r="E2772" s="465"/>
      <c r="F2772" s="466"/>
      <c r="G2772" s="466"/>
      <c r="J2772" s="441"/>
      <c r="K2772" s="441"/>
      <c r="L2772" s="440"/>
      <c r="O2772" s="442"/>
      <c r="P2772" s="442"/>
      <c r="Q2772" s="467"/>
      <c r="R2772" s="467"/>
    </row>
    <row r="2773" spans="1:18">
      <c r="A2773" s="440"/>
      <c r="B2773" s="460"/>
      <c r="C2773" s="464"/>
      <c r="D2773" s="465"/>
      <c r="E2773" s="465"/>
      <c r="F2773" s="466"/>
      <c r="G2773" s="466"/>
      <c r="J2773" s="441"/>
      <c r="K2773" s="441"/>
      <c r="L2773" s="440"/>
      <c r="O2773" s="442"/>
      <c r="P2773" s="442"/>
      <c r="Q2773" s="467"/>
      <c r="R2773" s="467"/>
    </row>
    <row r="2774" spans="1:18">
      <c r="A2774" s="440"/>
      <c r="B2774" s="460"/>
      <c r="C2774" s="464"/>
      <c r="D2774" s="465"/>
      <c r="E2774" s="465"/>
      <c r="F2774" s="466"/>
      <c r="G2774" s="466"/>
      <c r="J2774" s="441"/>
      <c r="K2774" s="441"/>
      <c r="L2774" s="440"/>
      <c r="O2774" s="442"/>
      <c r="P2774" s="442"/>
      <c r="Q2774" s="467"/>
      <c r="R2774" s="467"/>
    </row>
    <row r="2775" spans="1:18">
      <c r="A2775" s="440"/>
      <c r="B2775" s="460"/>
      <c r="C2775" s="464"/>
      <c r="D2775" s="465"/>
      <c r="E2775" s="465"/>
      <c r="F2775" s="466"/>
      <c r="G2775" s="466"/>
      <c r="J2775" s="441"/>
      <c r="K2775" s="441"/>
      <c r="L2775" s="440"/>
      <c r="O2775" s="442"/>
      <c r="P2775" s="442"/>
      <c r="Q2775" s="467"/>
      <c r="R2775" s="467"/>
    </row>
    <row r="2776" spans="1:18">
      <c r="A2776" s="440"/>
      <c r="B2776" s="460"/>
      <c r="C2776" s="464"/>
      <c r="D2776" s="465"/>
      <c r="E2776" s="465"/>
      <c r="F2776" s="466"/>
      <c r="G2776" s="466"/>
      <c r="J2776" s="441"/>
      <c r="K2776" s="441"/>
      <c r="L2776" s="440"/>
      <c r="O2776" s="442"/>
      <c r="P2776" s="442"/>
      <c r="Q2776" s="467"/>
      <c r="R2776" s="467"/>
    </row>
    <row r="2777" spans="1:18">
      <c r="A2777" s="440"/>
      <c r="B2777" s="460"/>
      <c r="C2777" s="464"/>
      <c r="D2777" s="465"/>
      <c r="E2777" s="465"/>
      <c r="F2777" s="466"/>
      <c r="G2777" s="466"/>
      <c r="J2777" s="441"/>
      <c r="K2777" s="441"/>
      <c r="L2777" s="440"/>
      <c r="O2777" s="442"/>
      <c r="P2777" s="442"/>
      <c r="Q2777" s="467"/>
      <c r="R2777" s="467"/>
    </row>
    <row r="2778" spans="1:18">
      <c r="A2778" s="440"/>
      <c r="B2778" s="460"/>
      <c r="C2778" s="464"/>
      <c r="D2778" s="465"/>
      <c r="E2778" s="465"/>
      <c r="F2778" s="466"/>
      <c r="G2778" s="466"/>
      <c r="J2778" s="441"/>
      <c r="K2778" s="441"/>
      <c r="L2778" s="440"/>
      <c r="O2778" s="442"/>
      <c r="P2778" s="442"/>
      <c r="Q2778" s="467"/>
      <c r="R2778" s="467"/>
    </row>
    <row r="2779" spans="1:18">
      <c r="A2779" s="440"/>
      <c r="B2779" s="460"/>
      <c r="C2779" s="464"/>
      <c r="D2779" s="465"/>
      <c r="E2779" s="465"/>
      <c r="F2779" s="466"/>
      <c r="G2779" s="466"/>
      <c r="J2779" s="441"/>
      <c r="K2779" s="441"/>
      <c r="L2779" s="440"/>
      <c r="O2779" s="442"/>
      <c r="P2779" s="442"/>
      <c r="Q2779" s="467"/>
      <c r="R2779" s="467"/>
    </row>
    <row r="2780" spans="1:18">
      <c r="A2780" s="440"/>
      <c r="B2780" s="460"/>
      <c r="C2780" s="464"/>
      <c r="D2780" s="465"/>
      <c r="E2780" s="465"/>
      <c r="F2780" s="466"/>
      <c r="G2780" s="466"/>
      <c r="J2780" s="441"/>
      <c r="K2780" s="441"/>
      <c r="L2780" s="440"/>
      <c r="O2780" s="442"/>
      <c r="P2780" s="442"/>
      <c r="Q2780" s="467"/>
      <c r="R2780" s="467"/>
    </row>
    <row r="2781" spans="1:18">
      <c r="A2781" s="440"/>
      <c r="B2781" s="460"/>
      <c r="C2781" s="464"/>
      <c r="D2781" s="465"/>
      <c r="E2781" s="465"/>
      <c r="F2781" s="466"/>
      <c r="G2781" s="466"/>
      <c r="J2781" s="441"/>
      <c r="K2781" s="441"/>
      <c r="L2781" s="440"/>
      <c r="O2781" s="442"/>
      <c r="P2781" s="442"/>
      <c r="Q2781" s="467"/>
      <c r="R2781" s="467"/>
    </row>
    <row r="2782" spans="1:18">
      <c r="A2782" s="440"/>
      <c r="B2782" s="460"/>
      <c r="C2782" s="464"/>
      <c r="D2782" s="465"/>
      <c r="E2782" s="465"/>
      <c r="F2782" s="466"/>
      <c r="G2782" s="466"/>
      <c r="J2782" s="441"/>
      <c r="K2782" s="441"/>
      <c r="L2782" s="440"/>
      <c r="O2782" s="442"/>
      <c r="P2782" s="442"/>
      <c r="Q2782" s="467"/>
      <c r="R2782" s="467"/>
    </row>
    <row r="2783" spans="1:18">
      <c r="A2783" s="440"/>
      <c r="B2783" s="460"/>
      <c r="C2783" s="464"/>
      <c r="D2783" s="465"/>
      <c r="E2783" s="465"/>
      <c r="F2783" s="466"/>
      <c r="G2783" s="466"/>
      <c r="J2783" s="441"/>
      <c r="K2783" s="441"/>
      <c r="L2783" s="440"/>
      <c r="O2783" s="442"/>
      <c r="P2783" s="442"/>
      <c r="Q2783" s="467"/>
      <c r="R2783" s="467"/>
    </row>
    <row r="2784" spans="1:18">
      <c r="A2784" s="440"/>
      <c r="B2784" s="460"/>
      <c r="C2784" s="464"/>
      <c r="D2784" s="465"/>
      <c r="E2784" s="465"/>
      <c r="F2784" s="466"/>
      <c r="G2784" s="466"/>
      <c r="J2784" s="441"/>
      <c r="K2784" s="441"/>
      <c r="L2784" s="440"/>
      <c r="O2784" s="442"/>
      <c r="P2784" s="442"/>
      <c r="Q2784" s="467"/>
      <c r="R2784" s="467"/>
    </row>
    <row r="2785" spans="1:18">
      <c r="A2785" s="440"/>
      <c r="B2785" s="460"/>
      <c r="C2785" s="464"/>
      <c r="D2785" s="465"/>
      <c r="E2785" s="465"/>
      <c r="F2785" s="466"/>
      <c r="G2785" s="466"/>
      <c r="J2785" s="441"/>
      <c r="K2785" s="441"/>
      <c r="L2785" s="440"/>
      <c r="O2785" s="442"/>
      <c r="P2785" s="442"/>
      <c r="Q2785" s="467"/>
      <c r="R2785" s="467"/>
    </row>
    <row r="2786" spans="1:18">
      <c r="A2786" s="440"/>
      <c r="B2786" s="460"/>
      <c r="C2786" s="464"/>
      <c r="D2786" s="465"/>
      <c r="E2786" s="465"/>
      <c r="F2786" s="466"/>
      <c r="G2786" s="466"/>
      <c r="J2786" s="441"/>
      <c r="K2786" s="441"/>
      <c r="L2786" s="440"/>
      <c r="O2786" s="442"/>
      <c r="P2786" s="442"/>
      <c r="Q2786" s="467"/>
      <c r="R2786" s="467"/>
    </row>
    <row r="2787" spans="1:18">
      <c r="A2787" s="440"/>
      <c r="B2787" s="460"/>
      <c r="C2787" s="464"/>
      <c r="D2787" s="465"/>
      <c r="E2787" s="465"/>
      <c r="F2787" s="466"/>
      <c r="G2787" s="466"/>
      <c r="J2787" s="441"/>
      <c r="K2787" s="441"/>
      <c r="L2787" s="440"/>
      <c r="O2787" s="442"/>
      <c r="P2787" s="442"/>
      <c r="Q2787" s="467"/>
      <c r="R2787" s="467"/>
    </row>
    <row r="2788" spans="1:18">
      <c r="A2788" s="440"/>
      <c r="B2788" s="460"/>
      <c r="C2788" s="464"/>
      <c r="D2788" s="465"/>
      <c r="E2788" s="465"/>
      <c r="F2788" s="466"/>
      <c r="G2788" s="466"/>
      <c r="J2788" s="441"/>
      <c r="K2788" s="441"/>
      <c r="L2788" s="440"/>
      <c r="O2788" s="442"/>
      <c r="P2788" s="442"/>
      <c r="Q2788" s="467"/>
      <c r="R2788" s="467"/>
    </row>
    <row r="2789" spans="1:18">
      <c r="A2789" s="440"/>
      <c r="B2789" s="460"/>
      <c r="C2789" s="464"/>
      <c r="D2789" s="465"/>
      <c r="E2789" s="465"/>
      <c r="F2789" s="466"/>
      <c r="G2789" s="466"/>
      <c r="J2789" s="441"/>
      <c r="K2789" s="441"/>
      <c r="L2789" s="440"/>
      <c r="O2789" s="442"/>
      <c r="P2789" s="442"/>
      <c r="Q2789" s="467"/>
      <c r="R2789" s="467"/>
    </row>
    <row r="2790" spans="1:18">
      <c r="A2790" s="440"/>
      <c r="B2790" s="460"/>
      <c r="C2790" s="464"/>
      <c r="D2790" s="465"/>
      <c r="E2790" s="465"/>
      <c r="F2790" s="466"/>
      <c r="G2790" s="466"/>
      <c r="J2790" s="441"/>
      <c r="K2790" s="441"/>
      <c r="L2790" s="440"/>
      <c r="O2790" s="442"/>
      <c r="P2790" s="442"/>
      <c r="Q2790" s="467"/>
      <c r="R2790" s="467"/>
    </row>
    <row r="2791" spans="1:18">
      <c r="A2791" s="440"/>
      <c r="B2791" s="460"/>
      <c r="C2791" s="464"/>
      <c r="D2791" s="465"/>
      <c r="E2791" s="465"/>
      <c r="F2791" s="466"/>
      <c r="G2791" s="466"/>
      <c r="J2791" s="441"/>
      <c r="K2791" s="441"/>
      <c r="L2791" s="440"/>
      <c r="O2791" s="442"/>
      <c r="P2791" s="442"/>
      <c r="Q2791" s="467"/>
      <c r="R2791" s="467"/>
    </row>
    <row r="2792" spans="1:18">
      <c r="A2792" s="440"/>
      <c r="B2792" s="460"/>
      <c r="C2792" s="464"/>
      <c r="D2792" s="465"/>
      <c r="E2792" s="465"/>
      <c r="F2792" s="466"/>
      <c r="G2792" s="466"/>
      <c r="J2792" s="441"/>
      <c r="K2792" s="441"/>
      <c r="L2792" s="440"/>
      <c r="O2792" s="442"/>
      <c r="P2792" s="442"/>
      <c r="Q2792" s="467"/>
      <c r="R2792" s="467"/>
    </row>
    <row r="2793" spans="1:18">
      <c r="A2793" s="440"/>
      <c r="B2793" s="460"/>
      <c r="C2793" s="464"/>
      <c r="D2793" s="465"/>
      <c r="E2793" s="465"/>
      <c r="F2793" s="466"/>
      <c r="G2793" s="466"/>
      <c r="J2793" s="441"/>
      <c r="K2793" s="441"/>
      <c r="L2793" s="440"/>
      <c r="O2793" s="442"/>
      <c r="P2793" s="442"/>
      <c r="Q2793" s="467"/>
      <c r="R2793" s="467"/>
    </row>
    <row r="2794" spans="1:18">
      <c r="A2794" s="440"/>
      <c r="B2794" s="460"/>
      <c r="C2794" s="464"/>
      <c r="D2794" s="465"/>
      <c r="E2794" s="465"/>
      <c r="F2794" s="466"/>
      <c r="G2794" s="466"/>
      <c r="J2794" s="441"/>
      <c r="K2794" s="441"/>
      <c r="L2794" s="440"/>
      <c r="O2794" s="442"/>
      <c r="P2794" s="442"/>
      <c r="Q2794" s="467"/>
      <c r="R2794" s="467"/>
    </row>
    <row r="2795" spans="1:18">
      <c r="A2795" s="440"/>
      <c r="B2795" s="460"/>
      <c r="C2795" s="464"/>
      <c r="D2795" s="465"/>
      <c r="E2795" s="465"/>
      <c r="F2795" s="466"/>
      <c r="G2795" s="466"/>
      <c r="J2795" s="441"/>
      <c r="K2795" s="441"/>
      <c r="L2795" s="440"/>
      <c r="O2795" s="442"/>
      <c r="P2795" s="442"/>
      <c r="Q2795" s="467"/>
      <c r="R2795" s="467"/>
    </row>
    <row r="2796" spans="1:18">
      <c r="A2796" s="440"/>
      <c r="B2796" s="460"/>
      <c r="C2796" s="464"/>
      <c r="D2796" s="465"/>
      <c r="E2796" s="465"/>
      <c r="F2796" s="466"/>
      <c r="G2796" s="466"/>
      <c r="J2796" s="441"/>
      <c r="K2796" s="441"/>
      <c r="L2796" s="440"/>
      <c r="O2796" s="442"/>
      <c r="P2796" s="442"/>
      <c r="Q2796" s="467"/>
      <c r="R2796" s="467"/>
    </row>
    <row r="2797" spans="1:18">
      <c r="A2797" s="440"/>
      <c r="B2797" s="463"/>
      <c r="C2797" s="464"/>
      <c r="D2797" s="465"/>
      <c r="E2797" s="465"/>
      <c r="F2797" s="466"/>
      <c r="G2797" s="466"/>
      <c r="J2797" s="441"/>
      <c r="K2797" s="441"/>
      <c r="L2797" s="440"/>
      <c r="O2797" s="442"/>
      <c r="P2797" s="442"/>
      <c r="Q2797" s="467"/>
      <c r="R2797" s="467"/>
    </row>
    <row r="2798" spans="1:18">
      <c r="A2798" s="440"/>
      <c r="B2798" s="460"/>
      <c r="C2798" s="464"/>
      <c r="D2798" s="465"/>
      <c r="E2798" s="465"/>
      <c r="F2798" s="466"/>
      <c r="G2798" s="466"/>
      <c r="J2798" s="441"/>
      <c r="K2798" s="441"/>
      <c r="L2798" s="440"/>
      <c r="O2798" s="442"/>
      <c r="P2798" s="442"/>
      <c r="Q2798" s="467"/>
      <c r="R2798" s="467"/>
    </row>
    <row r="2799" spans="1:18">
      <c r="A2799" s="440"/>
      <c r="B2799" s="460"/>
      <c r="C2799" s="464"/>
      <c r="D2799" s="465"/>
      <c r="E2799" s="465"/>
      <c r="F2799" s="466"/>
      <c r="G2799" s="466"/>
      <c r="J2799" s="441"/>
      <c r="K2799" s="441"/>
      <c r="L2799" s="440"/>
      <c r="O2799" s="442"/>
      <c r="P2799" s="442"/>
      <c r="Q2799" s="467"/>
      <c r="R2799" s="467"/>
    </row>
    <row r="2800" spans="1:18">
      <c r="A2800" s="440"/>
      <c r="B2800" s="460"/>
      <c r="C2800" s="464"/>
      <c r="D2800" s="465"/>
      <c r="E2800" s="465"/>
      <c r="F2800" s="466"/>
      <c r="G2800" s="466"/>
      <c r="J2800" s="441"/>
      <c r="K2800" s="441"/>
      <c r="L2800" s="440"/>
      <c r="O2800" s="442"/>
      <c r="P2800" s="442"/>
      <c r="Q2800" s="467"/>
      <c r="R2800" s="467"/>
    </row>
    <row r="2801" spans="1:18">
      <c r="A2801" s="440"/>
      <c r="B2801" s="460"/>
      <c r="C2801" s="464"/>
      <c r="D2801" s="465"/>
      <c r="E2801" s="465"/>
      <c r="F2801" s="466"/>
      <c r="G2801" s="466"/>
      <c r="J2801" s="441"/>
      <c r="K2801" s="441"/>
      <c r="L2801" s="440"/>
      <c r="O2801" s="442"/>
      <c r="P2801" s="442"/>
      <c r="Q2801" s="467"/>
      <c r="R2801" s="467"/>
    </row>
    <row r="2802" spans="1:18">
      <c r="A2802" s="440"/>
      <c r="B2802" s="460"/>
      <c r="C2802" s="464"/>
      <c r="D2802" s="465"/>
      <c r="E2802" s="465"/>
      <c r="F2802" s="466"/>
      <c r="G2802" s="466"/>
      <c r="J2802" s="441"/>
      <c r="K2802" s="441"/>
      <c r="L2802" s="440"/>
      <c r="O2802" s="442"/>
      <c r="P2802" s="442"/>
      <c r="Q2802" s="467"/>
      <c r="R2802" s="467"/>
    </row>
    <row r="2803" spans="1:18">
      <c r="A2803" s="440"/>
      <c r="B2803" s="460"/>
      <c r="C2803" s="464"/>
      <c r="D2803" s="465"/>
      <c r="E2803" s="465"/>
      <c r="F2803" s="466"/>
      <c r="G2803" s="466"/>
      <c r="J2803" s="441"/>
      <c r="K2803" s="441"/>
      <c r="L2803" s="440"/>
      <c r="O2803" s="442"/>
      <c r="P2803" s="442"/>
      <c r="Q2803" s="467"/>
      <c r="R2803" s="467"/>
    </row>
    <row r="2804" spans="1:18">
      <c r="A2804" s="440"/>
      <c r="B2804" s="460"/>
      <c r="C2804" s="464"/>
      <c r="D2804" s="465"/>
      <c r="E2804" s="465"/>
      <c r="F2804" s="466"/>
      <c r="G2804" s="466"/>
      <c r="J2804" s="441"/>
      <c r="K2804" s="441"/>
      <c r="L2804" s="440"/>
      <c r="O2804" s="442"/>
      <c r="P2804" s="442"/>
      <c r="Q2804" s="467"/>
      <c r="R2804" s="467"/>
    </row>
    <row r="2805" spans="1:18">
      <c r="A2805" s="440"/>
      <c r="B2805" s="460"/>
      <c r="C2805" s="464"/>
      <c r="D2805" s="465"/>
      <c r="E2805" s="465"/>
      <c r="F2805" s="466"/>
      <c r="G2805" s="466"/>
      <c r="J2805" s="441"/>
      <c r="K2805" s="441"/>
      <c r="L2805" s="440"/>
      <c r="O2805" s="442"/>
      <c r="P2805" s="442"/>
      <c r="Q2805" s="467"/>
      <c r="R2805" s="467"/>
    </row>
    <row r="2806" spans="1:18">
      <c r="A2806" s="440"/>
      <c r="B2806" s="460"/>
      <c r="C2806" s="464"/>
      <c r="D2806" s="465"/>
      <c r="E2806" s="465"/>
      <c r="F2806" s="466"/>
      <c r="G2806" s="466"/>
      <c r="J2806" s="441"/>
      <c r="K2806" s="441"/>
      <c r="L2806" s="440"/>
      <c r="O2806" s="442"/>
      <c r="P2806" s="442"/>
      <c r="Q2806" s="467"/>
      <c r="R2806" s="467"/>
    </row>
    <row r="2807" spans="1:18">
      <c r="A2807" s="440"/>
      <c r="B2807" s="460"/>
      <c r="C2807" s="464"/>
      <c r="D2807" s="465"/>
      <c r="E2807" s="465"/>
      <c r="F2807" s="466"/>
      <c r="G2807" s="466"/>
      <c r="J2807" s="441"/>
      <c r="K2807" s="441"/>
      <c r="L2807" s="440"/>
      <c r="O2807" s="442"/>
      <c r="P2807" s="442"/>
      <c r="Q2807" s="467"/>
      <c r="R2807" s="467"/>
    </row>
    <row r="2808" spans="1:18">
      <c r="A2808" s="440"/>
      <c r="B2808" s="460"/>
      <c r="C2808" s="464"/>
      <c r="D2808" s="465"/>
      <c r="E2808" s="465"/>
      <c r="F2808" s="466"/>
      <c r="G2808" s="466"/>
      <c r="J2808" s="441"/>
      <c r="K2808" s="441"/>
      <c r="L2808" s="440"/>
      <c r="O2808" s="442"/>
      <c r="P2808" s="442"/>
      <c r="Q2808" s="467"/>
      <c r="R2808" s="467"/>
    </row>
    <row r="2809" spans="1:18">
      <c r="A2809" s="440"/>
      <c r="B2809" s="460"/>
      <c r="C2809" s="464"/>
      <c r="D2809" s="465"/>
      <c r="E2809" s="465"/>
      <c r="F2809" s="466"/>
      <c r="G2809" s="466"/>
      <c r="J2809" s="441"/>
      <c r="K2809" s="441"/>
      <c r="L2809" s="440"/>
      <c r="O2809" s="442"/>
      <c r="P2809" s="442"/>
      <c r="Q2809" s="467"/>
      <c r="R2809" s="467"/>
    </row>
    <row r="2810" spans="1:18">
      <c r="A2810" s="440"/>
      <c r="B2810" s="460"/>
      <c r="C2810" s="464"/>
      <c r="D2810" s="465"/>
      <c r="E2810" s="465"/>
      <c r="F2810" s="466"/>
      <c r="G2810" s="466"/>
      <c r="J2810" s="441"/>
      <c r="K2810" s="441"/>
      <c r="L2810" s="440"/>
      <c r="O2810" s="442"/>
      <c r="P2810" s="442"/>
      <c r="Q2810" s="467"/>
      <c r="R2810" s="467"/>
    </row>
    <row r="2811" spans="1:18">
      <c r="A2811" s="440"/>
      <c r="B2811" s="460"/>
      <c r="C2811" s="464"/>
      <c r="D2811" s="465"/>
      <c r="E2811" s="465"/>
      <c r="F2811" s="466"/>
      <c r="G2811" s="466"/>
      <c r="J2811" s="441"/>
      <c r="K2811" s="441"/>
      <c r="L2811" s="440"/>
      <c r="O2811" s="442"/>
      <c r="P2811" s="442"/>
      <c r="Q2811" s="467"/>
      <c r="R2811" s="467"/>
    </row>
    <row r="2812" spans="1:18">
      <c r="A2812" s="440"/>
      <c r="B2812" s="460"/>
      <c r="C2812" s="464"/>
      <c r="D2812" s="465"/>
      <c r="E2812" s="465"/>
      <c r="F2812" s="466"/>
      <c r="G2812" s="466"/>
      <c r="J2812" s="441"/>
      <c r="K2812" s="441"/>
      <c r="L2812" s="440"/>
      <c r="O2812" s="442"/>
      <c r="P2812" s="442"/>
      <c r="Q2812" s="467"/>
      <c r="R2812" s="467"/>
    </row>
    <row r="2813" spans="1:18">
      <c r="A2813" s="440"/>
      <c r="B2813" s="460"/>
      <c r="C2813" s="464"/>
      <c r="D2813" s="465"/>
      <c r="E2813" s="465"/>
      <c r="F2813" s="466"/>
      <c r="G2813" s="466"/>
      <c r="J2813" s="441"/>
      <c r="K2813" s="441"/>
      <c r="L2813" s="440"/>
      <c r="O2813" s="442"/>
      <c r="P2813" s="442"/>
      <c r="Q2813" s="467"/>
      <c r="R2813" s="467"/>
    </row>
    <row r="2814" spans="1:18">
      <c r="A2814" s="440"/>
      <c r="B2814" s="460"/>
      <c r="C2814" s="464"/>
      <c r="D2814" s="465"/>
      <c r="E2814" s="465"/>
      <c r="F2814" s="466"/>
      <c r="G2814" s="466"/>
      <c r="J2814" s="441"/>
      <c r="K2814" s="441"/>
      <c r="L2814" s="440"/>
      <c r="O2814" s="442"/>
      <c r="P2814" s="442"/>
      <c r="Q2814" s="467"/>
      <c r="R2814" s="467"/>
    </row>
    <row r="2815" spans="1:18">
      <c r="A2815" s="440"/>
      <c r="B2815" s="460"/>
      <c r="C2815" s="464"/>
      <c r="D2815" s="465"/>
      <c r="E2815" s="465"/>
      <c r="F2815" s="466"/>
      <c r="G2815" s="466"/>
      <c r="J2815" s="441"/>
      <c r="K2815" s="441"/>
      <c r="L2815" s="440"/>
      <c r="O2815" s="442"/>
      <c r="P2815" s="442"/>
      <c r="Q2815" s="467"/>
      <c r="R2815" s="467"/>
    </row>
    <row r="2816" spans="1:18">
      <c r="A2816" s="440"/>
      <c r="B2816" s="460"/>
      <c r="C2816" s="464"/>
      <c r="D2816" s="465"/>
      <c r="E2816" s="465"/>
      <c r="F2816" s="466"/>
      <c r="G2816" s="466"/>
      <c r="J2816" s="441"/>
      <c r="K2816" s="441"/>
      <c r="L2816" s="440"/>
      <c r="O2816" s="442"/>
      <c r="P2816" s="442"/>
      <c r="Q2816" s="467"/>
      <c r="R2816" s="467"/>
    </row>
    <row r="2817" spans="1:18">
      <c r="A2817" s="440"/>
      <c r="B2817" s="460"/>
      <c r="C2817" s="464"/>
      <c r="D2817" s="465"/>
      <c r="E2817" s="465"/>
      <c r="F2817" s="466"/>
      <c r="G2817" s="466"/>
      <c r="J2817" s="441"/>
      <c r="K2817" s="441"/>
      <c r="L2817" s="440"/>
      <c r="O2817" s="442"/>
      <c r="P2817" s="442"/>
      <c r="Q2817" s="467"/>
      <c r="R2817" s="467"/>
    </row>
    <row r="2818" spans="1:18">
      <c r="A2818" s="440"/>
      <c r="B2818" s="460"/>
      <c r="C2818" s="464"/>
      <c r="D2818" s="465"/>
      <c r="E2818" s="465"/>
      <c r="F2818" s="466"/>
      <c r="G2818" s="466"/>
      <c r="J2818" s="441"/>
      <c r="K2818" s="441"/>
      <c r="L2818" s="440"/>
      <c r="O2818" s="442"/>
      <c r="P2818" s="442"/>
      <c r="Q2818" s="467"/>
      <c r="R2818" s="467"/>
    </row>
    <row r="2819" spans="1:18">
      <c r="A2819" s="440"/>
      <c r="B2819" s="460"/>
      <c r="C2819" s="464"/>
      <c r="D2819" s="465"/>
      <c r="E2819" s="465"/>
      <c r="F2819" s="466"/>
      <c r="G2819" s="466"/>
      <c r="J2819" s="441"/>
      <c r="K2819" s="441"/>
      <c r="L2819" s="440"/>
      <c r="O2819" s="442"/>
      <c r="P2819" s="442"/>
      <c r="Q2819" s="467"/>
      <c r="R2819" s="467"/>
    </row>
    <row r="2820" spans="1:18">
      <c r="A2820" s="440"/>
      <c r="B2820" s="460"/>
      <c r="C2820" s="464"/>
      <c r="D2820" s="465"/>
      <c r="E2820" s="465"/>
      <c r="F2820" s="466"/>
      <c r="G2820" s="466"/>
      <c r="J2820" s="441"/>
      <c r="K2820" s="441"/>
      <c r="L2820" s="440"/>
      <c r="O2820" s="442"/>
      <c r="P2820" s="442"/>
      <c r="Q2820" s="467"/>
      <c r="R2820" s="467"/>
    </row>
    <row r="2821" spans="1:18">
      <c r="A2821" s="440"/>
      <c r="B2821" s="460"/>
      <c r="C2821" s="464"/>
      <c r="D2821" s="465"/>
      <c r="E2821" s="465"/>
      <c r="F2821" s="466"/>
      <c r="G2821" s="466"/>
      <c r="J2821" s="441"/>
      <c r="K2821" s="441"/>
      <c r="L2821" s="440"/>
      <c r="O2821" s="442"/>
      <c r="P2821" s="442"/>
      <c r="Q2821" s="467"/>
      <c r="R2821" s="467"/>
    </row>
    <row r="2822" spans="1:18">
      <c r="A2822" s="440"/>
      <c r="B2822" s="460"/>
      <c r="C2822" s="464"/>
      <c r="D2822" s="465"/>
      <c r="E2822" s="465"/>
      <c r="F2822" s="466"/>
      <c r="G2822" s="466"/>
      <c r="J2822" s="441"/>
      <c r="K2822" s="441"/>
      <c r="L2822" s="440"/>
      <c r="O2822" s="442"/>
      <c r="P2822" s="442"/>
      <c r="Q2822" s="467"/>
      <c r="R2822" s="467"/>
    </row>
    <row r="2823" spans="1:18">
      <c r="A2823" s="440"/>
      <c r="B2823" s="460"/>
      <c r="C2823" s="464"/>
      <c r="D2823" s="465"/>
      <c r="E2823" s="465"/>
      <c r="F2823" s="466"/>
      <c r="G2823" s="466"/>
      <c r="J2823" s="441"/>
      <c r="K2823" s="441"/>
      <c r="L2823" s="440"/>
      <c r="O2823" s="442"/>
      <c r="P2823" s="442"/>
      <c r="Q2823" s="467"/>
      <c r="R2823" s="467"/>
    </row>
    <row r="2824" spans="1:18">
      <c r="A2824" s="440"/>
      <c r="B2824" s="460"/>
      <c r="C2824" s="464"/>
      <c r="D2824" s="465"/>
      <c r="E2824" s="465"/>
      <c r="F2824" s="466"/>
      <c r="G2824" s="466"/>
      <c r="J2824" s="441"/>
      <c r="K2824" s="441"/>
      <c r="L2824" s="440"/>
      <c r="O2824" s="442"/>
      <c r="P2824" s="442"/>
      <c r="Q2824" s="467"/>
      <c r="R2824" s="467"/>
    </row>
    <row r="2825" spans="1:18">
      <c r="A2825" s="440"/>
      <c r="B2825" s="460"/>
      <c r="C2825" s="464"/>
      <c r="D2825" s="465"/>
      <c r="E2825" s="465"/>
      <c r="F2825" s="466"/>
      <c r="G2825" s="466"/>
      <c r="J2825" s="441"/>
      <c r="K2825" s="441"/>
      <c r="L2825" s="440"/>
      <c r="O2825" s="442"/>
      <c r="P2825" s="442"/>
      <c r="Q2825" s="467"/>
      <c r="R2825" s="467"/>
    </row>
    <row r="2826" spans="1:18">
      <c r="A2826" s="440"/>
      <c r="B2826" s="460"/>
      <c r="C2826" s="464"/>
      <c r="D2826" s="465"/>
      <c r="E2826" s="465"/>
      <c r="F2826" s="466"/>
      <c r="G2826" s="466"/>
      <c r="J2826" s="441"/>
      <c r="K2826" s="441"/>
      <c r="L2826" s="440"/>
      <c r="O2826" s="442"/>
      <c r="P2826" s="442"/>
      <c r="Q2826" s="467"/>
      <c r="R2826" s="467"/>
    </row>
    <row r="2827" spans="1:18">
      <c r="A2827" s="440"/>
      <c r="B2827" s="460"/>
      <c r="C2827" s="464"/>
      <c r="D2827" s="465"/>
      <c r="E2827" s="465"/>
      <c r="F2827" s="466"/>
      <c r="G2827" s="466"/>
      <c r="J2827" s="441"/>
      <c r="K2827" s="441"/>
      <c r="L2827" s="440"/>
      <c r="O2827" s="442"/>
      <c r="P2827" s="442"/>
      <c r="Q2827" s="467"/>
      <c r="R2827" s="467"/>
    </row>
    <row r="2828" spans="1:18">
      <c r="A2828" s="440"/>
      <c r="B2828" s="460"/>
      <c r="C2828" s="464"/>
      <c r="D2828" s="465"/>
      <c r="E2828" s="465"/>
      <c r="F2828" s="466"/>
      <c r="G2828" s="466"/>
      <c r="J2828" s="441"/>
      <c r="K2828" s="441"/>
      <c r="L2828" s="440"/>
      <c r="O2828" s="442"/>
      <c r="P2828" s="442"/>
      <c r="Q2828" s="467"/>
      <c r="R2828" s="467"/>
    </row>
    <row r="2829" spans="1:18">
      <c r="A2829" s="440"/>
      <c r="B2829" s="460"/>
      <c r="C2829" s="464"/>
      <c r="D2829" s="465"/>
      <c r="E2829" s="465"/>
      <c r="F2829" s="466"/>
      <c r="G2829" s="466"/>
      <c r="J2829" s="441"/>
      <c r="K2829" s="441"/>
      <c r="L2829" s="440"/>
      <c r="O2829" s="442"/>
      <c r="P2829" s="442"/>
      <c r="Q2829" s="467"/>
      <c r="R2829" s="467"/>
    </row>
    <row r="2830" spans="1:18">
      <c r="A2830" s="440"/>
      <c r="B2830" s="460"/>
      <c r="C2830" s="464"/>
      <c r="D2830" s="465"/>
      <c r="E2830" s="465"/>
      <c r="F2830" s="466"/>
      <c r="G2830" s="466"/>
      <c r="J2830" s="441"/>
      <c r="K2830" s="441"/>
      <c r="L2830" s="440"/>
      <c r="O2830" s="442"/>
      <c r="P2830" s="442"/>
      <c r="Q2830" s="467"/>
      <c r="R2830" s="467"/>
    </row>
    <row r="2831" spans="1:18">
      <c r="A2831" s="440"/>
      <c r="B2831" s="460"/>
      <c r="C2831" s="464"/>
      <c r="D2831" s="465"/>
      <c r="E2831" s="465"/>
      <c r="F2831" s="466"/>
      <c r="G2831" s="466"/>
      <c r="J2831" s="441"/>
      <c r="K2831" s="441"/>
      <c r="L2831" s="440"/>
      <c r="O2831" s="442"/>
      <c r="P2831" s="442"/>
      <c r="Q2831" s="467"/>
      <c r="R2831" s="467"/>
    </row>
    <row r="2832" spans="1:18">
      <c r="A2832" s="440"/>
      <c r="B2832" s="460"/>
      <c r="C2832" s="464"/>
      <c r="D2832" s="465"/>
      <c r="E2832" s="465"/>
      <c r="F2832" s="466"/>
      <c r="G2832" s="466"/>
      <c r="J2832" s="441"/>
      <c r="K2832" s="441"/>
      <c r="L2832" s="440"/>
      <c r="O2832" s="442"/>
      <c r="P2832" s="442"/>
      <c r="Q2832" s="467"/>
      <c r="R2832" s="467"/>
    </row>
    <row r="2833" spans="1:18">
      <c r="A2833" s="440"/>
      <c r="B2833" s="460"/>
      <c r="C2833" s="464"/>
      <c r="D2833" s="465"/>
      <c r="E2833" s="465"/>
      <c r="F2833" s="466"/>
      <c r="G2833" s="466"/>
      <c r="J2833" s="441"/>
      <c r="K2833" s="441"/>
      <c r="L2833" s="440"/>
      <c r="O2833" s="442"/>
      <c r="P2833" s="442"/>
      <c r="Q2833" s="467"/>
      <c r="R2833" s="467"/>
    </row>
    <row r="2834" spans="1:18">
      <c r="A2834" s="440"/>
      <c r="B2834" s="460"/>
      <c r="C2834" s="464"/>
      <c r="D2834" s="465"/>
      <c r="E2834" s="465"/>
      <c r="F2834" s="466"/>
      <c r="G2834" s="466"/>
      <c r="J2834" s="441"/>
      <c r="K2834" s="441"/>
      <c r="L2834" s="440"/>
      <c r="O2834" s="442"/>
      <c r="P2834" s="442"/>
      <c r="Q2834" s="467"/>
      <c r="R2834" s="467"/>
    </row>
    <row r="2835" spans="1:18">
      <c r="A2835" s="440"/>
      <c r="B2835" s="460"/>
      <c r="C2835" s="464"/>
      <c r="D2835" s="465"/>
      <c r="E2835" s="465"/>
      <c r="F2835" s="466"/>
      <c r="G2835" s="466"/>
      <c r="J2835" s="441"/>
      <c r="K2835" s="441"/>
      <c r="L2835" s="440"/>
      <c r="O2835" s="442"/>
      <c r="P2835" s="442"/>
      <c r="Q2835" s="467"/>
      <c r="R2835" s="467"/>
    </row>
    <row r="2836" spans="1:18">
      <c r="A2836" s="440"/>
      <c r="B2836" s="460"/>
      <c r="C2836" s="464"/>
      <c r="D2836" s="465"/>
      <c r="E2836" s="465"/>
      <c r="F2836" s="466"/>
      <c r="G2836" s="466"/>
      <c r="J2836" s="441"/>
      <c r="K2836" s="441"/>
      <c r="L2836" s="440"/>
      <c r="O2836" s="442"/>
      <c r="P2836" s="442"/>
      <c r="Q2836" s="467"/>
      <c r="R2836" s="467"/>
    </row>
    <row r="2837" spans="1:18">
      <c r="A2837" s="440"/>
      <c r="B2837" s="460"/>
      <c r="C2837" s="464"/>
      <c r="D2837" s="465"/>
      <c r="E2837" s="465"/>
      <c r="F2837" s="466"/>
      <c r="G2837" s="466"/>
      <c r="J2837" s="441"/>
      <c r="K2837" s="441"/>
      <c r="L2837" s="440"/>
      <c r="O2837" s="442"/>
      <c r="P2837" s="442"/>
      <c r="Q2837" s="467"/>
      <c r="R2837" s="467"/>
    </row>
    <row r="2838" spans="1:18">
      <c r="A2838" s="440"/>
      <c r="B2838" s="460"/>
      <c r="C2838" s="464"/>
      <c r="D2838" s="465"/>
      <c r="E2838" s="465"/>
      <c r="F2838" s="466"/>
      <c r="G2838" s="466"/>
      <c r="J2838" s="441"/>
      <c r="K2838" s="441"/>
      <c r="L2838" s="440"/>
      <c r="O2838" s="442"/>
      <c r="P2838" s="442"/>
      <c r="Q2838" s="467"/>
      <c r="R2838" s="467"/>
    </row>
    <row r="2839" spans="1:18">
      <c r="A2839" s="440"/>
      <c r="B2839" s="460"/>
      <c r="C2839" s="464"/>
      <c r="D2839" s="465"/>
      <c r="E2839" s="465"/>
      <c r="F2839" s="466"/>
      <c r="G2839" s="466"/>
      <c r="J2839" s="441"/>
      <c r="K2839" s="441"/>
      <c r="L2839" s="440"/>
      <c r="O2839" s="442"/>
      <c r="P2839" s="442"/>
      <c r="Q2839" s="467"/>
      <c r="R2839" s="467"/>
    </row>
    <row r="2840" spans="1:18">
      <c r="A2840" s="440"/>
      <c r="B2840" s="460"/>
      <c r="C2840" s="464"/>
      <c r="D2840" s="465"/>
      <c r="E2840" s="465"/>
      <c r="F2840" s="466"/>
      <c r="G2840" s="466"/>
      <c r="J2840" s="441"/>
      <c r="K2840" s="441"/>
      <c r="L2840" s="440"/>
      <c r="O2840" s="442"/>
      <c r="P2840" s="442"/>
      <c r="Q2840" s="467"/>
      <c r="R2840" s="467"/>
    </row>
    <row r="2841" spans="1:18">
      <c r="A2841" s="440"/>
      <c r="B2841" s="460"/>
      <c r="C2841" s="464"/>
      <c r="D2841" s="465"/>
      <c r="E2841" s="465"/>
      <c r="F2841" s="466"/>
      <c r="G2841" s="466"/>
      <c r="J2841" s="441"/>
      <c r="K2841" s="441"/>
      <c r="L2841" s="440"/>
      <c r="O2841" s="442"/>
      <c r="P2841" s="442"/>
      <c r="Q2841" s="467"/>
      <c r="R2841" s="467"/>
    </row>
    <row r="2842" spans="1:18">
      <c r="A2842" s="440"/>
      <c r="B2842" s="460"/>
      <c r="C2842" s="464"/>
      <c r="D2842" s="465"/>
      <c r="E2842" s="465"/>
      <c r="F2842" s="466"/>
      <c r="G2842" s="466"/>
      <c r="J2842" s="441"/>
      <c r="K2842" s="441"/>
      <c r="L2842" s="440"/>
      <c r="O2842" s="442"/>
      <c r="P2842" s="442"/>
      <c r="Q2842" s="467"/>
      <c r="R2842" s="467"/>
    </row>
    <row r="2843" spans="1:18">
      <c r="A2843" s="440"/>
      <c r="B2843" s="460"/>
      <c r="C2843" s="464"/>
      <c r="D2843" s="465"/>
      <c r="E2843" s="465"/>
      <c r="F2843" s="466"/>
      <c r="G2843" s="466"/>
      <c r="J2843" s="441"/>
      <c r="K2843" s="441"/>
      <c r="L2843" s="440"/>
      <c r="O2843" s="442"/>
      <c r="P2843" s="442"/>
      <c r="Q2843" s="467"/>
      <c r="R2843" s="467"/>
    </row>
    <row r="2844" spans="1:18">
      <c r="A2844" s="440"/>
      <c r="B2844" s="460"/>
      <c r="C2844" s="464"/>
      <c r="D2844" s="465"/>
      <c r="E2844" s="465"/>
      <c r="F2844" s="466"/>
      <c r="G2844" s="466"/>
      <c r="J2844" s="441"/>
      <c r="K2844" s="441"/>
      <c r="L2844" s="440"/>
      <c r="O2844" s="442"/>
      <c r="P2844" s="442"/>
      <c r="Q2844" s="467"/>
      <c r="R2844" s="467"/>
    </row>
    <row r="2845" spans="1:18">
      <c r="A2845" s="440"/>
      <c r="B2845" s="460"/>
      <c r="C2845" s="464"/>
      <c r="D2845" s="465"/>
      <c r="E2845" s="465"/>
      <c r="F2845" s="466"/>
      <c r="G2845" s="466"/>
      <c r="J2845" s="441"/>
      <c r="K2845" s="441"/>
      <c r="L2845" s="440"/>
      <c r="O2845" s="442"/>
      <c r="P2845" s="442"/>
      <c r="Q2845" s="467"/>
      <c r="R2845" s="467"/>
    </row>
    <row r="2846" spans="1:18">
      <c r="A2846" s="440"/>
      <c r="B2846" s="460"/>
      <c r="C2846" s="464"/>
      <c r="D2846" s="465"/>
      <c r="E2846" s="465"/>
      <c r="F2846" s="466"/>
      <c r="G2846" s="466"/>
      <c r="J2846" s="441"/>
      <c r="K2846" s="441"/>
      <c r="L2846" s="440"/>
      <c r="O2846" s="442"/>
      <c r="P2846" s="442"/>
      <c r="Q2846" s="467"/>
      <c r="R2846" s="467"/>
    </row>
    <row r="2847" spans="1:18">
      <c r="A2847" s="440"/>
      <c r="B2847" s="460"/>
      <c r="C2847" s="464"/>
      <c r="D2847" s="465"/>
      <c r="E2847" s="465"/>
      <c r="F2847" s="466"/>
      <c r="G2847" s="466"/>
      <c r="J2847" s="441"/>
      <c r="K2847" s="441"/>
      <c r="L2847" s="440"/>
      <c r="O2847" s="442"/>
      <c r="P2847" s="442"/>
      <c r="Q2847" s="467"/>
      <c r="R2847" s="467"/>
    </row>
    <row r="2848" spans="1:18">
      <c r="A2848" s="440"/>
      <c r="B2848" s="460"/>
      <c r="C2848" s="464"/>
      <c r="D2848" s="465"/>
      <c r="E2848" s="465"/>
      <c r="F2848" s="466"/>
      <c r="G2848" s="466"/>
      <c r="J2848" s="441"/>
      <c r="K2848" s="441"/>
      <c r="L2848" s="440"/>
      <c r="O2848" s="442"/>
      <c r="P2848" s="442"/>
      <c r="Q2848" s="467"/>
      <c r="R2848" s="467"/>
    </row>
    <row r="2849" spans="1:18">
      <c r="A2849" s="440"/>
      <c r="B2849" s="460"/>
      <c r="C2849" s="464"/>
      <c r="D2849" s="465"/>
      <c r="E2849" s="465"/>
      <c r="F2849" s="466"/>
      <c r="G2849" s="466"/>
      <c r="J2849" s="441"/>
      <c r="K2849" s="441"/>
      <c r="L2849" s="440"/>
      <c r="O2849" s="442"/>
      <c r="P2849" s="442"/>
      <c r="Q2849" s="467"/>
      <c r="R2849" s="467"/>
    </row>
    <row r="2850" spans="1:18">
      <c r="A2850" s="440"/>
      <c r="B2850" s="460"/>
      <c r="C2850" s="464"/>
      <c r="D2850" s="465"/>
      <c r="E2850" s="465"/>
      <c r="F2850" s="466"/>
      <c r="G2850" s="466"/>
      <c r="J2850" s="441"/>
      <c r="K2850" s="441"/>
      <c r="L2850" s="440"/>
      <c r="O2850" s="442"/>
      <c r="P2850" s="442"/>
      <c r="Q2850" s="467"/>
      <c r="R2850" s="467"/>
    </row>
    <row r="2851" spans="1:18">
      <c r="A2851" s="440"/>
      <c r="B2851" s="460"/>
      <c r="C2851" s="464"/>
      <c r="D2851" s="465"/>
      <c r="E2851" s="465"/>
      <c r="F2851" s="466"/>
      <c r="G2851" s="466"/>
      <c r="J2851" s="441"/>
      <c r="K2851" s="441"/>
      <c r="L2851" s="440"/>
      <c r="O2851" s="442"/>
      <c r="P2851" s="442"/>
      <c r="Q2851" s="467"/>
      <c r="R2851" s="467"/>
    </row>
    <row r="2852" spans="1:18">
      <c r="A2852" s="440"/>
      <c r="B2852" s="460"/>
      <c r="C2852" s="464"/>
      <c r="D2852" s="465"/>
      <c r="E2852" s="465"/>
      <c r="F2852" s="466"/>
      <c r="G2852" s="466"/>
      <c r="J2852" s="441"/>
      <c r="K2852" s="441"/>
      <c r="L2852" s="440"/>
      <c r="O2852" s="442"/>
      <c r="P2852" s="442"/>
      <c r="Q2852" s="467"/>
      <c r="R2852" s="467"/>
    </row>
    <row r="2853" spans="1:18">
      <c r="A2853" s="440"/>
      <c r="B2853" s="460"/>
      <c r="C2853" s="464"/>
      <c r="D2853" s="465"/>
      <c r="E2853" s="465"/>
      <c r="F2853" s="466"/>
      <c r="G2853" s="466"/>
      <c r="J2853" s="441"/>
      <c r="K2853" s="441"/>
      <c r="L2853" s="440"/>
      <c r="O2853" s="442"/>
      <c r="P2853" s="442"/>
      <c r="Q2853" s="467"/>
      <c r="R2853" s="467"/>
    </row>
    <row r="2854" spans="1:18">
      <c r="A2854" s="440"/>
      <c r="B2854" s="460"/>
      <c r="C2854" s="464"/>
      <c r="D2854" s="465"/>
      <c r="E2854" s="465"/>
      <c r="F2854" s="466"/>
      <c r="G2854" s="466"/>
      <c r="J2854" s="441"/>
      <c r="K2854" s="441"/>
      <c r="L2854" s="440"/>
      <c r="O2854" s="442"/>
      <c r="P2854" s="442"/>
      <c r="Q2854" s="467"/>
      <c r="R2854" s="467"/>
    </row>
    <row r="2855" spans="1:18">
      <c r="A2855" s="440"/>
      <c r="B2855" s="460"/>
      <c r="C2855" s="464"/>
      <c r="D2855" s="465"/>
      <c r="E2855" s="465"/>
      <c r="F2855" s="466"/>
      <c r="G2855" s="466"/>
      <c r="J2855" s="441"/>
      <c r="K2855" s="441"/>
      <c r="L2855" s="440"/>
      <c r="O2855" s="442"/>
      <c r="P2855" s="442"/>
      <c r="Q2855" s="467"/>
      <c r="R2855" s="467"/>
    </row>
    <row r="2856" spans="1:18">
      <c r="A2856" s="440"/>
      <c r="B2856" s="460"/>
      <c r="C2856" s="464"/>
      <c r="D2856" s="465"/>
      <c r="E2856" s="465"/>
      <c r="F2856" s="466"/>
      <c r="G2856" s="466"/>
      <c r="J2856" s="441"/>
      <c r="K2856" s="441"/>
      <c r="L2856" s="440"/>
      <c r="O2856" s="442"/>
      <c r="P2856" s="442"/>
      <c r="Q2856" s="467"/>
      <c r="R2856" s="467"/>
    </row>
    <row r="2857" spans="1:18">
      <c r="A2857" s="440"/>
      <c r="B2857" s="460"/>
      <c r="C2857" s="464"/>
      <c r="D2857" s="465"/>
      <c r="E2857" s="465"/>
      <c r="F2857" s="466"/>
      <c r="G2857" s="466"/>
      <c r="J2857" s="441"/>
      <c r="K2857" s="441"/>
      <c r="L2857" s="440"/>
      <c r="O2857" s="442"/>
      <c r="P2857" s="442"/>
      <c r="Q2857" s="467"/>
      <c r="R2857" s="467"/>
    </row>
    <row r="2858" spans="1:18">
      <c r="A2858" s="440"/>
      <c r="B2858" s="460"/>
      <c r="C2858" s="464"/>
      <c r="D2858" s="465"/>
      <c r="E2858" s="465"/>
      <c r="F2858" s="466"/>
      <c r="G2858" s="466"/>
      <c r="J2858" s="441"/>
      <c r="K2858" s="441"/>
      <c r="L2858" s="440"/>
      <c r="O2858" s="442"/>
      <c r="P2858" s="442"/>
      <c r="Q2858" s="467"/>
      <c r="R2858" s="467"/>
    </row>
    <row r="2859" spans="1:18">
      <c r="A2859" s="440"/>
      <c r="B2859" s="460"/>
      <c r="C2859" s="464"/>
      <c r="D2859" s="465"/>
      <c r="E2859" s="465"/>
      <c r="F2859" s="466"/>
      <c r="G2859" s="466"/>
      <c r="J2859" s="441"/>
      <c r="K2859" s="441"/>
      <c r="L2859" s="440"/>
      <c r="O2859" s="442"/>
      <c r="P2859" s="442"/>
      <c r="Q2859" s="467"/>
      <c r="R2859" s="467"/>
    </row>
    <row r="2860" spans="1:18">
      <c r="A2860" s="440"/>
      <c r="B2860" s="460"/>
      <c r="C2860" s="464"/>
      <c r="D2860" s="465"/>
      <c r="E2860" s="465"/>
      <c r="F2860" s="466"/>
      <c r="G2860" s="466"/>
      <c r="J2860" s="441"/>
      <c r="K2860" s="441"/>
      <c r="L2860" s="440"/>
      <c r="O2860" s="442"/>
      <c r="P2860" s="442"/>
      <c r="Q2860" s="467"/>
      <c r="R2860" s="467"/>
    </row>
    <row r="2861" spans="1:18">
      <c r="A2861" s="440"/>
      <c r="B2861" s="460"/>
      <c r="C2861" s="464"/>
      <c r="D2861" s="465"/>
      <c r="E2861" s="465"/>
      <c r="F2861" s="466"/>
      <c r="G2861" s="466"/>
      <c r="J2861" s="441"/>
      <c r="K2861" s="441"/>
      <c r="L2861" s="440"/>
      <c r="O2861" s="442"/>
      <c r="P2861" s="442"/>
      <c r="Q2861" s="467"/>
      <c r="R2861" s="467"/>
    </row>
    <row r="2862" spans="1:18">
      <c r="A2862" s="440"/>
      <c r="B2862" s="460"/>
      <c r="C2862" s="464"/>
      <c r="D2862" s="465"/>
      <c r="E2862" s="465"/>
      <c r="F2862" s="466"/>
      <c r="G2862" s="466"/>
      <c r="J2862" s="441"/>
      <c r="K2862" s="441"/>
      <c r="L2862" s="440"/>
      <c r="O2862" s="442"/>
      <c r="P2862" s="442"/>
      <c r="Q2862" s="467"/>
      <c r="R2862" s="467"/>
    </row>
    <row r="2863" spans="1:18">
      <c r="A2863" s="440"/>
      <c r="B2863" s="460"/>
      <c r="C2863" s="464"/>
      <c r="D2863" s="465"/>
      <c r="E2863" s="465"/>
      <c r="F2863" s="466"/>
      <c r="G2863" s="466"/>
      <c r="J2863" s="441"/>
      <c r="K2863" s="441"/>
      <c r="L2863" s="440"/>
      <c r="O2863" s="442"/>
      <c r="P2863" s="442"/>
      <c r="Q2863" s="467"/>
      <c r="R2863" s="467"/>
    </row>
    <row r="2864" spans="1:18">
      <c r="A2864" s="440"/>
      <c r="B2864" s="460"/>
      <c r="C2864" s="464"/>
      <c r="D2864" s="465"/>
      <c r="E2864" s="465"/>
      <c r="F2864" s="466"/>
      <c r="G2864" s="466"/>
      <c r="J2864" s="441"/>
      <c r="K2864" s="441"/>
      <c r="L2864" s="440"/>
      <c r="O2864" s="442"/>
      <c r="P2864" s="442"/>
      <c r="Q2864" s="467"/>
      <c r="R2864" s="467"/>
    </row>
    <row r="2865" spans="1:18">
      <c r="A2865" s="440"/>
      <c r="B2865" s="460"/>
      <c r="C2865" s="464"/>
      <c r="D2865" s="465"/>
      <c r="E2865" s="465"/>
      <c r="F2865" s="466"/>
      <c r="G2865" s="466"/>
      <c r="J2865" s="441"/>
      <c r="K2865" s="441"/>
      <c r="L2865" s="440"/>
      <c r="O2865" s="442"/>
      <c r="P2865" s="442"/>
      <c r="Q2865" s="467"/>
      <c r="R2865" s="467"/>
    </row>
    <row r="2866" spans="1:18">
      <c r="A2866" s="440"/>
      <c r="B2866" s="460"/>
      <c r="C2866" s="464"/>
      <c r="D2866" s="465"/>
      <c r="E2866" s="465"/>
      <c r="F2866" s="466"/>
      <c r="G2866" s="466"/>
      <c r="J2866" s="441"/>
      <c r="K2866" s="441"/>
      <c r="L2866" s="440"/>
      <c r="O2866" s="442"/>
      <c r="P2866" s="442"/>
      <c r="Q2866" s="467"/>
      <c r="R2866" s="467"/>
    </row>
    <row r="2867" spans="1:18">
      <c r="A2867" s="440"/>
      <c r="B2867" s="460"/>
      <c r="C2867" s="464"/>
      <c r="D2867" s="465"/>
      <c r="E2867" s="465"/>
      <c r="F2867" s="466"/>
      <c r="G2867" s="466"/>
      <c r="J2867" s="441"/>
      <c r="K2867" s="441"/>
      <c r="L2867" s="440"/>
      <c r="O2867" s="442"/>
      <c r="P2867" s="442"/>
      <c r="Q2867" s="467"/>
      <c r="R2867" s="467"/>
    </row>
    <row r="2868" spans="1:18">
      <c r="A2868" s="440"/>
      <c r="B2868" s="460"/>
      <c r="C2868" s="464"/>
      <c r="D2868" s="465"/>
      <c r="E2868" s="465"/>
      <c r="F2868" s="466"/>
      <c r="G2868" s="466"/>
      <c r="J2868" s="441"/>
      <c r="K2868" s="441"/>
      <c r="L2868" s="440"/>
      <c r="O2868" s="442"/>
      <c r="P2868" s="442"/>
      <c r="Q2868" s="467"/>
      <c r="R2868" s="467"/>
    </row>
    <row r="2869" spans="1:18">
      <c r="A2869" s="440"/>
      <c r="B2869" s="460"/>
      <c r="C2869" s="464"/>
      <c r="D2869" s="465"/>
      <c r="E2869" s="465"/>
      <c r="F2869" s="466"/>
      <c r="G2869" s="466"/>
      <c r="J2869" s="441"/>
      <c r="K2869" s="441"/>
      <c r="L2869" s="440"/>
      <c r="O2869" s="442"/>
      <c r="P2869" s="442"/>
      <c r="Q2869" s="467"/>
      <c r="R2869" s="467"/>
    </row>
    <row r="2870" spans="1:18">
      <c r="A2870" s="440"/>
      <c r="B2870" s="460"/>
      <c r="C2870" s="464"/>
      <c r="D2870" s="465"/>
      <c r="E2870" s="465"/>
      <c r="F2870" s="466"/>
      <c r="G2870" s="466"/>
      <c r="J2870" s="441"/>
      <c r="K2870" s="441"/>
      <c r="L2870" s="440"/>
      <c r="O2870" s="442"/>
      <c r="P2870" s="442"/>
      <c r="Q2870" s="467"/>
      <c r="R2870" s="467"/>
    </row>
    <row r="2871" spans="1:18">
      <c r="A2871" s="440"/>
      <c r="B2871" s="460"/>
      <c r="C2871" s="464"/>
      <c r="D2871" s="465"/>
      <c r="E2871" s="465"/>
      <c r="F2871" s="466"/>
      <c r="G2871" s="466"/>
      <c r="J2871" s="441"/>
      <c r="K2871" s="441"/>
      <c r="L2871" s="440"/>
      <c r="O2871" s="442"/>
      <c r="P2871" s="442"/>
      <c r="Q2871" s="467"/>
      <c r="R2871" s="467"/>
    </row>
    <row r="2872" spans="1:18">
      <c r="A2872" s="440"/>
      <c r="B2872" s="460"/>
      <c r="C2872" s="464"/>
      <c r="D2872" s="465"/>
      <c r="E2872" s="465"/>
      <c r="F2872" s="466"/>
      <c r="G2872" s="466"/>
      <c r="J2872" s="441"/>
      <c r="K2872" s="441"/>
      <c r="L2872" s="440"/>
      <c r="O2872" s="442"/>
      <c r="P2872" s="442"/>
      <c r="Q2872" s="467"/>
      <c r="R2872" s="467"/>
    </row>
  </sheetData>
  <sheetProtection formatColumns="0" formatRows="0" insertColumns="0" insertRows="0" deleteRows="0" autoFilter="0"/>
  <dataConsolidate/>
  <mergeCells count="2">
    <mergeCell ref="A1:P1"/>
    <mergeCell ref="A2:P2"/>
  </mergeCells>
  <phoneticPr fontId="0" type="noConversion"/>
  <conditionalFormatting sqref="F259">
    <cfRule type="expression" dxfId="3" priority="1" stopIfTrue="1">
      <formula>ISEVEN(ROW())</formula>
    </cfRule>
  </conditionalFormatting>
  <conditionalFormatting sqref="G44">
    <cfRule type="expression" dxfId="2" priority="8" stopIfTrue="1">
      <formula>ISEVEN(ROW())</formula>
    </cfRule>
  </conditionalFormatting>
  <conditionalFormatting sqref="G124">
    <cfRule type="expression" dxfId="1" priority="7" stopIfTrue="1">
      <formula>ISEVEN(ROW())</formula>
    </cfRule>
  </conditionalFormatting>
  <conditionalFormatting sqref="G1421">
    <cfRule type="expression" dxfId="0" priority="9" stopIfTrue="1">
      <formula>ISEVEN(ROW())</formula>
    </cfRule>
  </conditionalFormatting>
  <dataValidations count="4">
    <dataValidation type="list" allowBlank="1" showInputMessage="1" showErrorMessage="1" sqref="H4:H1865 H1888:H1900 H1873:H1886 H1869:H1871 J1885:J1887 J1860:J1881 F2425:F2429 J2430:J2662 H2178:H2180 H1902:H1903 H1945:H1949 H2096:H2097 H2099:H2101 H2113 H2218 H2220:H2222 H2253 H2361:H2364 H2386:H2388 H2464 H1976:H1997 H2001:H2008 H2034:H2036 H2042:H2043 H2084 H2089:H2092 H2148:H2149 H2194 H2198 H2200:H2213 H2237 H2255:H2257 H2333:H2335 H2337:H2341 H2425:H2450 H2472:H2475 H2484:H2496 H2157:H2160 H2368:H2369 H2283:H2285 H2292:H2294 H2452:H2461 H2104:H2106 H2143:H2144 H2355:H2359 H2393:H2398 H2280:H2281 H2380:H2383 H2062:H2064 H1908:H1915 H2010:H2026 H2309:H2313 H1958:H1973 H2058 H2087 H2304:H2307 H2146 H2268:H2270 H2315:H2327 H2344:H2353 H1918:H1925 H2028 H2288:H2290 H2404:H2405 H1942 H2115 H2117 H2119:H2133 H2136:H2141 H2230:H2234 H2263:H2266 H2329:H2330 H2151:H2155 H2390:H2391 H2407:H2423 H2030:H2032 H2045:H2046 H2071:H2079 H2373:H2374 H2477 H2049:H2054 H2186:H2190 H1956 H2371 H2377:H2378 H2243:H2245 H2249:H2251 H2082 H1927:H1936 H2275 H2366 H2401:H2402 H2481 H2228 H2038:H2039 H2066:H2067 H2168:H2174 J1901:J2220 J2223:J2424 H2056 H2240:H2241 H2272:H2273" xr:uid="{00000000-0002-0000-0900-000000000000}">
      <formula1>VinculoPT</formula1>
    </dataValidation>
    <dataValidation type="list" allowBlank="1" showInputMessage="1" showErrorMessage="1" sqref="E207 D116:E116 E804:E805 D793:E793 D4:D115 D1234:E1234 E250:E253 E218 E369 E475 E620 E926:E929 D471:D792 E636 D117:D469 E1138:E1140 E1143:E1145 D794:D1233 E1532 D1749:E1749 D1895:D1900 E1517 D1750:D1890 D1235:D1748 F2326:F2344 D2425:D2429 F2054:F2113 F2346:F2358 F2215:F2216 F1901:F2052 F2199:F2213 F2361:F2424 F2115:F2170 F2218:F2324 F2172:F2197 F2450:F2458 F2460:F2662" xr:uid="{00000000-0002-0000-0900-000001000000}">
      <formula1>Categorias</formula1>
    </dataValidation>
    <dataValidation type="list" allowBlank="1" showInputMessage="1" showErrorMessage="1" sqref="E117:E206 E794:E803 E208:E217 E219:E249 E637:E792 E370:E474 E4:E115 E621:E635 E476:E619 E806:E925 E254:E368 E1141:E1142 E1146:E1233 E1866 E1880 E1883:E1884 E930:E1137 E2400 E1235:E1516 G2326:G2422 E1518:E1531 E2425:E2429 E2420 G2453:G2662 E1533:E1748 E2022 E1862 E2228 E2230 E2190 E2327 E2092 E1750:E1860 E2055:E2056 E2239:E2241 E2256:E2257 E2272:E2273 E2330 G2223:G2324 G2430:G2451 G2181:G2220 G1860:G2179" xr:uid="{00000000-0002-0000-0900-000002000000}">
      <formula1>OFFSET(Repasses,1,MATCH(D4,Categorias,0)-1,OFFSET(Repasses,-1,MATCH(D4,Categorias,0)-1),1)</formula1>
    </dataValidation>
    <dataValidation type="list" allowBlank="1" showInputMessage="1" showErrorMessage="1" sqref="P4:P936 P938:P973 P1101:P1121 P1125:P1131 P975:P1099 P1134:P1175 P1177:P1178 P1260:P1292 P1182:P1256 P1295:P1308 P1346 P1348:P1349 P1351:P1353 P1720:P1725 P1335:P1344 P1310:P1332 P1355:P1395 P1398:P1416 P1883:P1887 P1437:P1475 P1418:P1435 P1770:P1828 P1477:P1546 P1552:P1592 P1607:P1718 P1762:P1767 P1727:P1759 P1596:P1604 P1830:P1831 P1859:P1881 P1834:P1856 P1889:P1900 P2425:P2429 R2430:R2662 R1860:R2424" xr:uid="{00000000-0002-0000-0900-000003000000}">
      <formula1>Contas</formula1>
    </dataValidation>
  </dataValidations>
  <printOptions horizontalCentered="1"/>
  <pageMargins left="0.59055118110236227" right="0.59055118110236227" top="0.59055118110236227" bottom="0.59055118110236227" header="0" footer="0"/>
  <pageSetup paperSize="9" scale="45" fitToHeight="0" pageOrder="overThenDown" orientation="landscape" r:id="rId1"/>
  <headerFooter>
    <oddFooter>Página &amp;P de &amp;N</oddFooter>
  </headerFooter>
  <rowBreaks count="2" manualBreakCount="2">
    <brk id="896" max="15" man="1"/>
    <brk id="924" max="15" man="1"/>
  </rowBreaks>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4.9989318521683403E-2"/>
    <pageSetUpPr fitToPage="1"/>
  </sheetPr>
  <dimension ref="A1:N39"/>
  <sheetViews>
    <sheetView showGridLines="0" view="pageBreakPreview" zoomScale="85" zoomScaleNormal="100" zoomScaleSheetLayoutView="85" workbookViewId="0">
      <pane xSplit="4" ySplit="3" topLeftCell="E16" activePane="bottomRight" state="frozen"/>
      <selection activeCell="K2409" sqref="K2409"/>
      <selection pane="topRight" activeCell="K2409" sqref="K2409"/>
      <selection pane="bottomLeft" activeCell="K2409" sqref="K2409"/>
      <selection pane="bottomRight" activeCell="C31" sqref="C31"/>
    </sheetView>
  </sheetViews>
  <sheetFormatPr defaultColWidth="9.140625" defaultRowHeight="12.75"/>
  <cols>
    <col min="1" max="1" width="5.5703125" style="63" customWidth="1"/>
    <col min="2" max="2" width="10.140625" style="56" bestFit="1" customWidth="1"/>
    <col min="3" max="3" width="23.5703125" style="36" customWidth="1"/>
    <col min="4" max="4" width="12.85546875" style="35" customWidth="1"/>
    <col min="5" max="5" width="52.5703125" style="34" customWidth="1"/>
    <col min="6" max="6" width="23.85546875" style="58" customWidth="1"/>
    <col min="7" max="8" width="20" style="174" customWidth="1"/>
    <col min="9" max="9" width="17.42578125" style="174" customWidth="1"/>
    <col min="10" max="10" width="13.42578125" style="175" customWidth="1"/>
    <col min="11" max="11" width="14.42578125" style="174" customWidth="1"/>
    <col min="12" max="12" width="13" style="35" customWidth="1"/>
    <col min="13" max="16384" width="9.140625" style="55"/>
  </cols>
  <sheetData>
    <row r="1" spans="1:14" ht="18" customHeight="1">
      <c r="A1" s="541" t="str">
        <f>Capa!A70</f>
        <v xml:space="preserve">Contrato de Gestão nº06/2020 - Secretaria Estadual de Cultura e Instituto Cultural Filarmonica </v>
      </c>
      <c r="B1" s="541"/>
      <c r="C1" s="541"/>
      <c r="D1" s="541"/>
      <c r="E1" s="541"/>
      <c r="F1" s="541"/>
      <c r="G1" s="541"/>
      <c r="H1" s="541"/>
      <c r="I1" s="541"/>
      <c r="J1" s="541"/>
      <c r="K1" s="541"/>
      <c r="L1" s="541"/>
    </row>
    <row r="2" spans="1:14" ht="18" customHeight="1">
      <c r="A2" s="555" t="s">
        <v>386</v>
      </c>
      <c r="B2" s="555"/>
      <c r="C2" s="555"/>
      <c r="D2" s="555"/>
      <c r="E2" s="555"/>
      <c r="F2" s="555"/>
      <c r="G2" s="555"/>
      <c r="H2" s="555"/>
      <c r="I2" s="555"/>
      <c r="J2" s="555"/>
      <c r="K2" s="555"/>
      <c r="L2" s="555"/>
    </row>
    <row r="3" spans="1:14" s="57" customFormat="1" ht="38.25">
      <c r="A3" s="444" t="s">
        <v>85</v>
      </c>
      <c r="B3" s="444" t="s">
        <v>257</v>
      </c>
      <c r="C3" s="414" t="s">
        <v>34</v>
      </c>
      <c r="D3" s="414" t="s">
        <v>249</v>
      </c>
      <c r="E3" s="414" t="s">
        <v>48</v>
      </c>
      <c r="F3" s="414" t="s">
        <v>379</v>
      </c>
      <c r="G3" s="413" t="s">
        <v>49</v>
      </c>
      <c r="H3" s="414" t="s">
        <v>49</v>
      </c>
      <c r="I3" s="414" t="s">
        <v>68</v>
      </c>
      <c r="J3" s="414" t="s">
        <v>46</v>
      </c>
      <c r="K3" s="414" t="s">
        <v>67</v>
      </c>
      <c r="L3" s="414" t="s">
        <v>152</v>
      </c>
    </row>
    <row r="4" spans="1:14" ht="24">
      <c r="A4" s="443">
        <v>1</v>
      </c>
      <c r="B4" s="387">
        <v>46044</v>
      </c>
      <c r="C4" s="389" t="s">
        <v>360</v>
      </c>
      <c r="D4" s="404">
        <v>11546.82</v>
      </c>
      <c r="E4" s="392" t="s">
        <v>1998</v>
      </c>
      <c r="F4" s="394" t="s">
        <v>744</v>
      </c>
      <c r="G4" s="455">
        <v>7837375000150</v>
      </c>
      <c r="H4" s="390" t="str">
        <f t="shared" ref="H4" si="0">IF(G4="","",IF(LEN(G4)&gt;14,IF(ISBLANK(G4),"",G4),REPLACE(REPLACE(G4,1,3,"XXX"),13,2,"XX")))</f>
        <v>XXX737500015XX</v>
      </c>
      <c r="I4" s="391" t="s">
        <v>1999</v>
      </c>
      <c r="J4" s="403"/>
      <c r="K4" s="391">
        <v>122025</v>
      </c>
      <c r="L4" s="387">
        <v>46022</v>
      </c>
    </row>
    <row r="5" spans="1:14" ht="24">
      <c r="A5" s="443">
        <v>2</v>
      </c>
      <c r="B5" s="387">
        <v>46044</v>
      </c>
      <c r="C5" s="389" t="s">
        <v>360</v>
      </c>
      <c r="D5" s="404">
        <v>2852.1</v>
      </c>
      <c r="E5" s="392" t="s">
        <v>1998</v>
      </c>
      <c r="F5" s="394" t="s">
        <v>744</v>
      </c>
      <c r="G5" s="455">
        <v>7837375000151</v>
      </c>
      <c r="H5" s="390" t="str">
        <f t="shared" ref="H5:H8" si="1">IF(G5="","",IF(LEN(G5)&gt;14,IF(ISBLANK(G5),"",G5),REPLACE(REPLACE(G5,1,3,"XXX"),13,2,"XX")))</f>
        <v>XXX737500015XX</v>
      </c>
      <c r="I5" s="391" t="s">
        <v>1999</v>
      </c>
      <c r="J5" s="403"/>
      <c r="K5" s="391">
        <v>122025</v>
      </c>
      <c r="L5" s="387">
        <v>46022</v>
      </c>
    </row>
    <row r="6" spans="1:14" ht="24">
      <c r="A6" s="443">
        <v>3</v>
      </c>
      <c r="B6" s="387">
        <v>46053</v>
      </c>
      <c r="C6" s="389" t="s">
        <v>362</v>
      </c>
      <c r="D6" s="476">
        <v>20129.650000000001</v>
      </c>
      <c r="E6" s="477" t="s">
        <v>1997</v>
      </c>
      <c r="F6" s="394" t="s">
        <v>744</v>
      </c>
      <c r="G6" s="455">
        <v>7837375000152</v>
      </c>
      <c r="H6" s="390" t="str">
        <f t="shared" si="1"/>
        <v>XXX737500015XX</v>
      </c>
      <c r="I6" s="391" t="s">
        <v>1999</v>
      </c>
      <c r="J6" s="403"/>
      <c r="K6" s="391">
        <v>12026</v>
      </c>
      <c r="L6" s="387">
        <v>46053</v>
      </c>
    </row>
    <row r="7" spans="1:14" ht="24">
      <c r="A7" s="443">
        <v>4</v>
      </c>
      <c r="B7" s="387">
        <v>46081</v>
      </c>
      <c r="C7" s="389" t="s">
        <v>362</v>
      </c>
      <c r="D7" s="476">
        <v>17820.98</v>
      </c>
      <c r="E7" s="477" t="s">
        <v>1415</v>
      </c>
      <c r="F7" s="394" t="s">
        <v>744</v>
      </c>
      <c r="G7" s="455">
        <v>7837375000153</v>
      </c>
      <c r="H7" s="390" t="str">
        <f t="shared" si="1"/>
        <v>XXX737500015XX</v>
      </c>
      <c r="I7" s="391" t="s">
        <v>1999</v>
      </c>
      <c r="J7" s="403"/>
      <c r="K7" s="391">
        <v>22026</v>
      </c>
      <c r="L7" s="387">
        <v>46081</v>
      </c>
    </row>
    <row r="8" spans="1:14" ht="24">
      <c r="A8" s="443">
        <v>5</v>
      </c>
      <c r="B8" s="387">
        <v>46112</v>
      </c>
      <c r="C8" s="389" t="s">
        <v>362</v>
      </c>
      <c r="D8" s="476">
        <v>21648.73</v>
      </c>
      <c r="E8" s="477" t="s">
        <v>1774</v>
      </c>
      <c r="F8" s="394" t="s">
        <v>744</v>
      </c>
      <c r="G8" s="455">
        <v>7837375000154</v>
      </c>
      <c r="H8" s="390" t="str">
        <f t="shared" si="1"/>
        <v>XXX737500015XX</v>
      </c>
      <c r="I8" s="391" t="s">
        <v>1999</v>
      </c>
      <c r="J8" s="403"/>
      <c r="K8" s="391">
        <v>32026</v>
      </c>
      <c r="L8" s="387">
        <v>46112</v>
      </c>
    </row>
    <row r="9" spans="1:14" ht="24">
      <c r="A9" s="443">
        <v>6</v>
      </c>
      <c r="B9" s="387">
        <v>46129</v>
      </c>
      <c r="C9" s="389" t="s">
        <v>360</v>
      </c>
      <c r="D9" s="404">
        <v>2015.56</v>
      </c>
      <c r="E9" s="446" t="s">
        <v>2511</v>
      </c>
      <c r="F9" s="394" t="s">
        <v>744</v>
      </c>
      <c r="G9" s="455">
        <v>7837375000155</v>
      </c>
      <c r="H9" s="390" t="str">
        <f t="shared" ref="H9:H14" si="2">IF(G9="","",IF(LEN(G9)&gt;14,IF(ISBLANK(G9),"",G9),REPLACE(REPLACE(G9,1,3,"XXX"),13,2,"XX")))</f>
        <v>XXX737500015XX</v>
      </c>
      <c r="I9" s="391" t="s">
        <v>1999</v>
      </c>
      <c r="J9" s="403"/>
      <c r="K9" s="391">
        <v>12026</v>
      </c>
      <c r="L9" s="387">
        <v>46053</v>
      </c>
    </row>
    <row r="10" spans="1:14" ht="24">
      <c r="A10" s="443">
        <v>7</v>
      </c>
      <c r="B10" s="387">
        <v>46129</v>
      </c>
      <c r="C10" s="389" t="s">
        <v>360</v>
      </c>
      <c r="D10" s="404">
        <v>6554.69</v>
      </c>
      <c r="E10" s="446" t="s">
        <v>2512</v>
      </c>
      <c r="F10" s="394" t="s">
        <v>744</v>
      </c>
      <c r="G10" s="455">
        <v>7837375000156</v>
      </c>
      <c r="H10" s="390" t="str">
        <f t="shared" si="2"/>
        <v>XXX737500015XX</v>
      </c>
      <c r="I10" s="391" t="s">
        <v>1999</v>
      </c>
      <c r="J10" s="403"/>
      <c r="K10" s="391">
        <v>22026</v>
      </c>
      <c r="L10" s="387">
        <v>46081</v>
      </c>
    </row>
    <row r="11" spans="1:14" ht="24">
      <c r="A11" s="443">
        <v>8</v>
      </c>
      <c r="B11" s="387">
        <v>46134</v>
      </c>
      <c r="C11" s="389" t="s">
        <v>360</v>
      </c>
      <c r="D11" s="404">
        <v>10809.61</v>
      </c>
      <c r="E11" s="446" t="s">
        <v>2513</v>
      </c>
      <c r="F11" s="394" t="s">
        <v>744</v>
      </c>
      <c r="G11" s="455">
        <v>7837375000157</v>
      </c>
      <c r="H11" s="390" t="str">
        <f t="shared" si="2"/>
        <v>XXX737500015XX</v>
      </c>
      <c r="I11" s="391" t="s">
        <v>1999</v>
      </c>
      <c r="J11" s="403"/>
      <c r="K11" s="391">
        <v>32026</v>
      </c>
      <c r="L11" s="387">
        <v>46112</v>
      </c>
    </row>
    <row r="12" spans="1:14" ht="24">
      <c r="A12" s="443">
        <v>9</v>
      </c>
      <c r="B12" s="387">
        <v>46142</v>
      </c>
      <c r="C12" s="389" t="s">
        <v>360</v>
      </c>
      <c r="D12" s="404">
        <v>11232.59</v>
      </c>
      <c r="E12" s="446" t="s">
        <v>2515</v>
      </c>
      <c r="F12" s="394" t="s">
        <v>744</v>
      </c>
      <c r="G12" s="455">
        <v>7837375000158</v>
      </c>
      <c r="H12" s="390" t="str">
        <f t="shared" si="2"/>
        <v>XXX737500015XX</v>
      </c>
      <c r="I12" s="391" t="s">
        <v>1999</v>
      </c>
      <c r="J12" s="403"/>
      <c r="K12" s="391">
        <v>12026</v>
      </c>
      <c r="L12" s="387">
        <v>46053</v>
      </c>
    </row>
    <row r="13" spans="1:14" ht="24">
      <c r="A13" s="443">
        <v>10</v>
      </c>
      <c r="B13" s="387">
        <v>46142</v>
      </c>
      <c r="C13" s="389" t="s">
        <v>360</v>
      </c>
      <c r="D13" s="404">
        <v>2735.55</v>
      </c>
      <c r="E13" s="446" t="s">
        <v>2516</v>
      </c>
      <c r="F13" s="394" t="s">
        <v>744</v>
      </c>
      <c r="G13" s="455">
        <v>7837375000159</v>
      </c>
      <c r="H13" s="390" t="str">
        <f t="shared" si="2"/>
        <v>XXX737500015XX</v>
      </c>
      <c r="I13" s="391" t="s">
        <v>1999</v>
      </c>
      <c r="J13" s="403"/>
      <c r="K13" s="391">
        <v>22026</v>
      </c>
      <c r="L13" s="387">
        <v>46081</v>
      </c>
    </row>
    <row r="14" spans="1:14" ht="24">
      <c r="A14" s="443">
        <v>11</v>
      </c>
      <c r="B14" s="387"/>
      <c r="C14" s="389" t="s">
        <v>360</v>
      </c>
      <c r="D14" s="404">
        <v>1519.74</v>
      </c>
      <c r="E14" s="446" t="s">
        <v>2517</v>
      </c>
      <c r="F14" s="394" t="s">
        <v>744</v>
      </c>
      <c r="G14" s="455">
        <v>7837375000160</v>
      </c>
      <c r="H14" s="390" t="str">
        <f t="shared" si="2"/>
        <v>XXX737500016XX</v>
      </c>
      <c r="I14" s="391" t="s">
        <v>1999</v>
      </c>
      <c r="J14" s="403"/>
      <c r="K14" s="391">
        <v>32026</v>
      </c>
      <c r="L14" s="387">
        <v>46112</v>
      </c>
    </row>
    <row r="15" spans="1:14" ht="36">
      <c r="A15" s="443">
        <v>12</v>
      </c>
      <c r="B15" s="387">
        <v>46129</v>
      </c>
      <c r="C15" s="389" t="s">
        <v>361</v>
      </c>
      <c r="D15" s="447">
        <v>4500</v>
      </c>
      <c r="E15" s="389" t="s">
        <v>2523</v>
      </c>
      <c r="F15" s="479" t="s">
        <v>2216</v>
      </c>
      <c r="G15" s="478" t="s">
        <v>2217</v>
      </c>
      <c r="H15" s="390" t="str">
        <f t="shared" ref="H15:H18" si="3">IF(G15="","",IF(LEN(G15)&gt;14,IF(ISBLANK(G15),"",G15),REPLACE(REPLACE(G15,1,3,"XXX"),13,2,"XX")))</f>
        <v>XXX899470001XX</v>
      </c>
      <c r="I15" s="391" t="s">
        <v>1999</v>
      </c>
      <c r="J15" s="403"/>
      <c r="K15" s="391">
        <v>42026</v>
      </c>
      <c r="L15" s="387">
        <v>46129</v>
      </c>
    </row>
    <row r="16" spans="1:14" ht="24">
      <c r="A16" s="443">
        <v>13</v>
      </c>
      <c r="B16" s="387">
        <v>46129</v>
      </c>
      <c r="C16" s="389" t="s">
        <v>361</v>
      </c>
      <c r="D16" s="447">
        <v>25500</v>
      </c>
      <c r="E16" s="389" t="s">
        <v>2523</v>
      </c>
      <c r="F16" s="479" t="s">
        <v>789</v>
      </c>
      <c r="G16" s="478" t="s">
        <v>790</v>
      </c>
      <c r="H16" s="390" t="str">
        <f t="shared" si="3"/>
        <v>XXX20396885 XX</v>
      </c>
      <c r="I16" s="391" t="s">
        <v>1999</v>
      </c>
      <c r="J16" s="403"/>
      <c r="K16" s="391">
        <v>42026</v>
      </c>
      <c r="L16" s="387">
        <v>46129</v>
      </c>
      <c r="N16" s="57"/>
    </row>
    <row r="17" spans="1:12" ht="24">
      <c r="A17" s="443">
        <v>14</v>
      </c>
      <c r="B17" s="387">
        <v>46134</v>
      </c>
      <c r="C17" s="389" t="s">
        <v>361</v>
      </c>
      <c r="D17" s="447">
        <v>300</v>
      </c>
      <c r="E17" s="389" t="s">
        <v>2523</v>
      </c>
      <c r="F17" s="479" t="s">
        <v>2222</v>
      </c>
      <c r="G17" s="478" t="s">
        <v>2223</v>
      </c>
      <c r="H17" s="390" t="str">
        <f t="shared" si="3"/>
        <v>XXX985830001XX</v>
      </c>
      <c r="I17" s="391" t="s">
        <v>1999</v>
      </c>
      <c r="J17" s="403"/>
      <c r="K17" s="391">
        <v>42026</v>
      </c>
      <c r="L17" s="387">
        <v>46134</v>
      </c>
    </row>
    <row r="18" spans="1:12" ht="24">
      <c r="A18" s="443">
        <v>15</v>
      </c>
      <c r="B18" s="387">
        <v>46142</v>
      </c>
      <c r="C18" s="389" t="s">
        <v>362</v>
      </c>
      <c r="D18" s="447">
        <v>-295.89999999999998</v>
      </c>
      <c r="E18" s="446" t="s">
        <v>2499</v>
      </c>
      <c r="F18" s="394" t="s">
        <v>744</v>
      </c>
      <c r="G18" s="455">
        <v>7837375000160</v>
      </c>
      <c r="H18" s="390" t="str">
        <f t="shared" si="3"/>
        <v>XXX737500016XX</v>
      </c>
      <c r="I18" s="391" t="s">
        <v>1999</v>
      </c>
      <c r="J18" s="403"/>
      <c r="K18" s="391">
        <v>42026</v>
      </c>
      <c r="L18" s="387">
        <v>46142</v>
      </c>
    </row>
    <row r="19" spans="1:12" ht="24">
      <c r="A19" s="443">
        <v>16</v>
      </c>
      <c r="B19" s="387">
        <v>46142</v>
      </c>
      <c r="C19" s="389" t="s">
        <v>362</v>
      </c>
      <c r="D19" s="447">
        <v>19053.38</v>
      </c>
      <c r="E19" s="446" t="s">
        <v>2498</v>
      </c>
      <c r="F19" s="394" t="s">
        <v>744</v>
      </c>
      <c r="G19" s="455">
        <v>7837375000160</v>
      </c>
      <c r="H19" s="390" t="str">
        <f t="shared" ref="H19:H26" si="4">IF(G19="","",IF(LEN(G19)&gt;14,IF(ISBLANK(G19),"",G19),REPLACE(REPLACE(G19,1,3,"XXX"),13,2,"XX")))</f>
        <v>XXX737500016XX</v>
      </c>
      <c r="I19" s="391" t="s">
        <v>1999</v>
      </c>
      <c r="J19" s="403"/>
      <c r="K19" s="391">
        <v>42026</v>
      </c>
      <c r="L19" s="387">
        <v>46142</v>
      </c>
    </row>
    <row r="20" spans="1:12" ht="24">
      <c r="A20" s="443">
        <v>17</v>
      </c>
      <c r="B20" s="387">
        <v>46149</v>
      </c>
      <c r="C20" s="389" t="s">
        <v>360</v>
      </c>
      <c r="D20" s="404">
        <v>6119.03</v>
      </c>
      <c r="E20" s="446" t="s">
        <v>2949</v>
      </c>
      <c r="F20" s="394" t="s">
        <v>744</v>
      </c>
      <c r="G20" s="455">
        <v>7837375000160</v>
      </c>
      <c r="H20" s="390" t="str">
        <f t="shared" si="4"/>
        <v>XXX737500016XX</v>
      </c>
      <c r="I20" s="391" t="s">
        <v>1999</v>
      </c>
      <c r="J20" s="403"/>
      <c r="K20" s="391">
        <v>42026</v>
      </c>
      <c r="L20" s="387">
        <v>46142</v>
      </c>
    </row>
    <row r="21" spans="1:12" ht="24">
      <c r="A21" s="443">
        <v>18</v>
      </c>
      <c r="B21" s="387">
        <v>46149</v>
      </c>
      <c r="C21" s="389" t="s">
        <v>360</v>
      </c>
      <c r="D21" s="404">
        <v>2912.8</v>
      </c>
      <c r="E21" s="446" t="s">
        <v>2949</v>
      </c>
      <c r="F21" s="394" t="s">
        <v>744</v>
      </c>
      <c r="G21" s="455">
        <v>7837375000160</v>
      </c>
      <c r="H21" s="390" t="str">
        <f t="shared" si="4"/>
        <v>XXX737500016XX</v>
      </c>
      <c r="I21" s="391" t="s">
        <v>1999</v>
      </c>
      <c r="J21" s="403"/>
      <c r="K21" s="391">
        <v>42026</v>
      </c>
      <c r="L21" s="387">
        <v>46142</v>
      </c>
    </row>
    <row r="22" spans="1:12" ht="24">
      <c r="A22" s="443">
        <v>19</v>
      </c>
      <c r="B22" s="387">
        <v>46173</v>
      </c>
      <c r="C22" s="389" t="s">
        <v>362</v>
      </c>
      <c r="D22" s="485">
        <v>9738.4699999999993</v>
      </c>
      <c r="E22" s="486" t="s">
        <v>2941</v>
      </c>
      <c r="F22" s="394" t="s">
        <v>744</v>
      </c>
      <c r="G22" s="455">
        <v>7837375000160</v>
      </c>
      <c r="H22" s="390" t="str">
        <f t="shared" si="4"/>
        <v>XXX737500016XX</v>
      </c>
      <c r="I22" s="391" t="s">
        <v>1999</v>
      </c>
      <c r="J22" s="403"/>
      <c r="K22" s="391"/>
      <c r="L22" s="387"/>
    </row>
    <row r="23" spans="1:12" ht="24">
      <c r="A23" s="443">
        <v>20</v>
      </c>
      <c r="B23" s="387">
        <v>46173</v>
      </c>
      <c r="C23" s="389" t="s">
        <v>361</v>
      </c>
      <c r="D23" s="485">
        <v>21867.79</v>
      </c>
      <c r="E23" s="486" t="s">
        <v>2942</v>
      </c>
      <c r="F23" s="394" t="s">
        <v>744</v>
      </c>
      <c r="G23" s="455">
        <v>7837375000160</v>
      </c>
      <c r="H23" s="390" t="str">
        <f t="shared" si="4"/>
        <v>XXX737500016XX</v>
      </c>
      <c r="I23" s="391" t="s">
        <v>1999</v>
      </c>
      <c r="J23" s="403"/>
      <c r="K23" s="391"/>
      <c r="L23" s="387"/>
    </row>
    <row r="24" spans="1:12" ht="24">
      <c r="A24" s="443">
        <v>21</v>
      </c>
      <c r="B24" s="387">
        <v>46173</v>
      </c>
      <c r="C24" s="389" t="s">
        <v>361</v>
      </c>
      <c r="D24" s="485">
        <v>17.46</v>
      </c>
      <c r="E24" s="486" t="s">
        <v>2943</v>
      </c>
      <c r="F24" s="394" t="s">
        <v>744</v>
      </c>
      <c r="G24" s="455">
        <v>7837375000160</v>
      </c>
      <c r="H24" s="390" t="str">
        <f t="shared" si="4"/>
        <v>XXX737500016XX</v>
      </c>
      <c r="I24" s="391" t="s">
        <v>1999</v>
      </c>
      <c r="J24" s="403"/>
      <c r="K24" s="391"/>
      <c r="L24" s="387"/>
    </row>
    <row r="25" spans="1:12" ht="24">
      <c r="A25" s="443">
        <v>22</v>
      </c>
      <c r="B25" s="387">
        <v>46173</v>
      </c>
      <c r="C25" s="389" t="s">
        <v>361</v>
      </c>
      <c r="D25" s="485">
        <v>251.5</v>
      </c>
      <c r="E25" s="486" t="s">
        <v>2942</v>
      </c>
      <c r="F25" s="394" t="s">
        <v>744</v>
      </c>
      <c r="G25" s="455">
        <v>7837375000160</v>
      </c>
      <c r="H25" s="390" t="str">
        <f t="shared" si="4"/>
        <v>XXX737500016XX</v>
      </c>
      <c r="I25" s="391" t="s">
        <v>1999</v>
      </c>
      <c r="J25" s="403"/>
      <c r="K25" s="391"/>
      <c r="L25" s="387"/>
    </row>
    <row r="26" spans="1:12" ht="24">
      <c r="A26" s="443">
        <v>23</v>
      </c>
      <c r="B26" s="387">
        <v>46173</v>
      </c>
      <c r="C26" s="389" t="s">
        <v>362</v>
      </c>
      <c r="D26" s="485">
        <v>7253.9</v>
      </c>
      <c r="E26" s="486" t="s">
        <v>2941</v>
      </c>
      <c r="F26" s="394" t="s">
        <v>744</v>
      </c>
      <c r="G26" s="455">
        <v>7837375000160</v>
      </c>
      <c r="H26" s="390" t="str">
        <f t="shared" si="4"/>
        <v>XXX737500016XX</v>
      </c>
      <c r="I26" s="391" t="s">
        <v>1999</v>
      </c>
      <c r="J26" s="403"/>
      <c r="K26" s="391"/>
      <c r="L26" s="387"/>
    </row>
    <row r="27" spans="1:12" ht="24">
      <c r="A27" s="443">
        <v>24</v>
      </c>
      <c r="B27" s="387"/>
      <c r="C27" s="389"/>
      <c r="D27" s="434"/>
      <c r="E27" s="433"/>
      <c r="F27" s="394" t="s">
        <v>744</v>
      </c>
      <c r="G27" s="455">
        <v>7837375000161</v>
      </c>
      <c r="H27" s="390" t="str">
        <f t="shared" ref="H27:H32" si="5">IF(G27="","",IF(LEN(G27)&gt;14,IF(ISBLANK(G27),"",G27),REPLACE(REPLACE(G27,1,3,"XXX"),13,2,"XX")))</f>
        <v>XXX737500016XX</v>
      </c>
      <c r="I27" s="391" t="s">
        <v>1999</v>
      </c>
      <c r="J27" s="403"/>
      <c r="K27" s="391"/>
      <c r="L27" s="387"/>
    </row>
    <row r="28" spans="1:12" ht="24">
      <c r="A28" s="443">
        <v>25</v>
      </c>
      <c r="B28" s="387"/>
      <c r="C28" s="389"/>
      <c r="D28" s="447"/>
      <c r="E28" s="446"/>
      <c r="F28" s="394" t="s">
        <v>744</v>
      </c>
      <c r="G28" s="455">
        <v>7837375000162</v>
      </c>
      <c r="H28" s="390" t="str">
        <f t="shared" si="5"/>
        <v>XXX737500016XX</v>
      </c>
      <c r="I28" s="391" t="s">
        <v>1999</v>
      </c>
      <c r="J28" s="403"/>
      <c r="K28" s="391"/>
      <c r="L28" s="387"/>
    </row>
    <row r="29" spans="1:12" ht="24">
      <c r="A29" s="443">
        <v>26</v>
      </c>
      <c r="B29" s="387"/>
      <c r="C29" s="389"/>
      <c r="D29" s="400"/>
      <c r="E29" s="433"/>
      <c r="F29" s="394" t="s">
        <v>744</v>
      </c>
      <c r="G29" s="455">
        <v>7837375000163</v>
      </c>
      <c r="H29" s="390" t="str">
        <f t="shared" si="5"/>
        <v>XXX737500016XX</v>
      </c>
      <c r="I29" s="391" t="s">
        <v>1999</v>
      </c>
      <c r="J29" s="403"/>
      <c r="K29" s="391"/>
      <c r="L29" s="387"/>
    </row>
    <row r="30" spans="1:12" ht="24">
      <c r="A30" s="443">
        <v>27</v>
      </c>
      <c r="B30" s="387"/>
      <c r="C30" s="389"/>
      <c r="D30" s="400"/>
      <c r="E30" s="433"/>
      <c r="F30" s="394" t="s">
        <v>744</v>
      </c>
      <c r="G30" s="455">
        <v>7837375000164</v>
      </c>
      <c r="H30" s="390" t="str">
        <f t="shared" si="5"/>
        <v>XXX737500016XX</v>
      </c>
      <c r="I30" s="391" t="s">
        <v>1999</v>
      </c>
      <c r="J30" s="403"/>
      <c r="K30" s="391"/>
      <c r="L30" s="387"/>
    </row>
    <row r="31" spans="1:12" ht="24">
      <c r="A31" s="443">
        <v>28</v>
      </c>
      <c r="B31" s="387">
        <v>46203</v>
      </c>
      <c r="C31" s="389" t="s">
        <v>362</v>
      </c>
      <c r="D31" s="485">
        <v>21644.69</v>
      </c>
      <c r="E31" s="486" t="s">
        <v>3834</v>
      </c>
      <c r="F31" s="394" t="s">
        <v>744</v>
      </c>
      <c r="G31" s="455">
        <v>7837375000165</v>
      </c>
      <c r="H31" s="390" t="str">
        <f t="shared" si="5"/>
        <v>XXX737500016XX</v>
      </c>
      <c r="I31" s="391" t="s">
        <v>1999</v>
      </c>
      <c r="J31" s="403"/>
      <c r="K31" s="391"/>
      <c r="L31" s="387"/>
    </row>
    <row r="32" spans="1:12" ht="24">
      <c r="A32" s="443">
        <v>29</v>
      </c>
      <c r="B32" s="387"/>
      <c r="C32" s="389"/>
      <c r="D32" s="404"/>
      <c r="E32" s="433"/>
      <c r="F32" s="394" t="s">
        <v>744</v>
      </c>
      <c r="G32" s="455">
        <v>7837375000166</v>
      </c>
      <c r="H32" s="390" t="str">
        <f t="shared" si="5"/>
        <v>XXX737500016XX</v>
      </c>
      <c r="I32" s="391" t="s">
        <v>1999</v>
      </c>
      <c r="J32" s="403"/>
      <c r="K32" s="391"/>
      <c r="L32" s="387"/>
    </row>
    <row r="33" spans="1:12">
      <c r="A33" s="443">
        <v>30</v>
      </c>
      <c r="B33" s="387"/>
      <c r="C33" s="389"/>
      <c r="D33" s="400"/>
      <c r="E33" s="389"/>
      <c r="F33" s="392"/>
      <c r="G33" s="427"/>
      <c r="H33" s="390"/>
      <c r="I33" s="391"/>
      <c r="J33" s="403"/>
      <c r="K33" s="391"/>
      <c r="L33" s="387"/>
    </row>
    <row r="34" spans="1:12">
      <c r="A34" s="443">
        <v>31</v>
      </c>
      <c r="B34" s="387"/>
      <c r="C34" s="389"/>
      <c r="D34" s="400"/>
      <c r="E34" s="389"/>
      <c r="F34" s="392"/>
      <c r="G34" s="427"/>
      <c r="H34" s="390"/>
      <c r="I34" s="391"/>
      <c r="J34" s="403"/>
      <c r="K34" s="391"/>
      <c r="L34" s="387"/>
    </row>
    <row r="35" spans="1:12">
      <c r="A35" s="443">
        <v>32</v>
      </c>
      <c r="B35" s="387"/>
      <c r="C35" s="389"/>
      <c r="D35" s="404"/>
      <c r="E35" s="397"/>
      <c r="F35" s="392"/>
      <c r="G35" s="427"/>
      <c r="H35" s="390"/>
      <c r="I35" s="391"/>
      <c r="J35" s="403"/>
      <c r="K35" s="391"/>
      <c r="L35" s="387"/>
    </row>
    <row r="36" spans="1:12">
      <c r="A36" s="443">
        <v>33</v>
      </c>
      <c r="B36" s="387"/>
      <c r="C36" s="389"/>
      <c r="D36" s="404"/>
      <c r="E36" s="397"/>
      <c r="F36" s="392"/>
      <c r="G36" s="427"/>
      <c r="H36" s="390"/>
      <c r="I36" s="391"/>
      <c r="J36" s="403"/>
      <c r="K36" s="391"/>
      <c r="L36" s="387"/>
    </row>
    <row r="37" spans="1:12">
      <c r="A37" s="443">
        <v>34</v>
      </c>
      <c r="B37" s="387"/>
      <c r="C37" s="389"/>
      <c r="D37" s="404"/>
      <c r="E37" s="397"/>
      <c r="F37" s="392"/>
      <c r="G37" s="427"/>
      <c r="H37" s="390"/>
      <c r="I37" s="391"/>
      <c r="J37" s="403"/>
      <c r="K37" s="391"/>
      <c r="L37" s="387"/>
    </row>
    <row r="38" spans="1:12">
      <c r="A38" s="443">
        <v>38</v>
      </c>
      <c r="B38" s="387"/>
      <c r="C38" s="389"/>
      <c r="D38" s="404"/>
      <c r="E38" s="389"/>
      <c r="F38" s="392"/>
      <c r="G38" s="427"/>
      <c r="H38" s="390"/>
      <c r="I38" s="391"/>
      <c r="J38" s="403"/>
      <c r="K38" s="391"/>
      <c r="L38" s="387"/>
    </row>
    <row r="39" spans="1:12">
      <c r="A39" s="443"/>
      <c r="B39" s="349"/>
      <c r="C39" s="350"/>
      <c r="D39" s="351"/>
      <c r="E39" s="350"/>
      <c r="F39" s="392"/>
      <c r="G39" s="356"/>
      <c r="H39" s="390"/>
      <c r="I39" s="352"/>
      <c r="J39" s="353"/>
      <c r="K39" s="352"/>
      <c r="L39" s="349"/>
    </row>
  </sheetData>
  <sheetProtection formatColumns="0" formatRows="0" insertColumns="0" insertRows="0" deleteRows="0" autoFilter="0"/>
  <mergeCells count="2">
    <mergeCell ref="A1:L1"/>
    <mergeCell ref="A2:L2"/>
  </mergeCells>
  <dataValidations count="3">
    <dataValidation type="list" allowBlank="1" showInputMessage="1" showErrorMessage="1" sqref="E22:E26 E31" xr:uid="{B41FF9FE-3906-45A2-AADE-F04A87900963}">
      <formula1>OFFSET(Repasses,1,MATCH(D22,Categorias,0)-1,OFFSET(Repasses,-1,MATCH(D22,Categorias,0)-1),1)</formula1>
    </dataValidation>
    <dataValidation type="list" allowBlank="1" showInputMessage="1" showErrorMessage="1" sqref="D31:D32 D22:D26" xr:uid="{C5593226-0DD2-4622-A065-EB218A6D2399}">
      <formula1>Categorias</formula1>
    </dataValidation>
    <dataValidation type="list" allowBlank="1" showInputMessage="1" showErrorMessage="1" sqref="C4:C39" xr:uid="{00000000-0002-0000-0A00-000000000000}">
      <formula1>Reserva</formula1>
    </dataValidation>
  </dataValidations>
  <printOptions horizontalCentered="1"/>
  <pageMargins left="0.59055118110236227" right="0.59055118110236227" top="0.59055118110236227" bottom="0.59055118110236227" header="0" footer="0"/>
  <pageSetup paperSize="9" scale="58" fitToHeight="0" pageOrder="overThenDown" orientation="landscape" r:id="rId1"/>
  <headerFooter>
    <oddFooter>Página &amp;P de &amp;N</oddFooter>
  </headerFooter>
  <colBreaks count="1" manualBreakCount="1">
    <brk id="5" max="1048575" man="1"/>
  </colBreaks>
  <ignoredErrors>
    <ignoredError sqref="H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0.499984740745262"/>
    <pageSetUpPr fitToPage="1"/>
  </sheetPr>
  <dimension ref="A1:P1004"/>
  <sheetViews>
    <sheetView showGridLines="0" zoomScaleNormal="100" zoomScaleSheetLayoutView="100" workbookViewId="0">
      <pane ySplit="5" topLeftCell="A6" activePane="bottomLeft" state="frozen"/>
      <selection pane="bottomLeft" activeCell="B7" sqref="B7"/>
    </sheetView>
  </sheetViews>
  <sheetFormatPr defaultColWidth="9.140625" defaultRowHeight="15"/>
  <cols>
    <col min="1" max="1" width="4" style="179" bestFit="1" customWidth="1"/>
    <col min="2" max="2" width="29.85546875" style="179" customWidth="1"/>
    <col min="3" max="3" width="36.5703125" style="177" customWidth="1"/>
    <col min="4" max="4" width="13.5703125" style="177" customWidth="1"/>
    <col min="5" max="5" width="11" style="177" customWidth="1"/>
    <col min="6" max="6" width="15.5703125" style="177" customWidth="1"/>
    <col min="7" max="7" width="13.5703125" style="177" customWidth="1"/>
    <col min="8" max="8" width="10.5703125" style="177" customWidth="1"/>
    <col min="9" max="9" width="19.5703125" style="177" customWidth="1"/>
    <col min="10" max="11" width="11.42578125" style="177" customWidth="1"/>
    <col min="12" max="12" width="9.140625" style="177"/>
    <col min="13" max="13" width="9.140625" style="177" customWidth="1"/>
    <col min="14" max="15" width="9.140625" style="177" hidden="1" customWidth="1"/>
    <col min="16" max="16384" width="9.140625" style="177"/>
  </cols>
  <sheetData>
    <row r="1" spans="1:16" ht="17.25" customHeight="1">
      <c r="A1" s="557" t="s">
        <v>308</v>
      </c>
      <c r="B1" s="557"/>
      <c r="C1" s="557"/>
      <c r="D1" s="557"/>
      <c r="E1" s="557"/>
      <c r="F1" s="557"/>
      <c r="G1" s="557"/>
      <c r="H1" s="557"/>
      <c r="I1" s="557"/>
      <c r="J1" s="557"/>
      <c r="K1" s="557"/>
    </row>
    <row r="2" spans="1:16" ht="15.6" customHeight="1">
      <c r="A2" s="555" t="str">
        <f>Capa!A70</f>
        <v xml:space="preserve">Contrato de Gestão nº06/2020 - Secretaria Estadual de Cultura e Instituto Cultural Filarmonica </v>
      </c>
      <c r="B2" s="555"/>
      <c r="C2" s="555"/>
      <c r="D2" s="555"/>
      <c r="E2" s="555"/>
      <c r="F2" s="555"/>
      <c r="G2" s="555"/>
      <c r="H2" s="555"/>
      <c r="I2" s="555"/>
      <c r="J2" s="555"/>
      <c r="K2" s="555"/>
      <c r="L2" s="176"/>
      <c r="M2" s="176"/>
      <c r="N2" s="176"/>
      <c r="O2" s="176"/>
      <c r="P2" s="176"/>
    </row>
    <row r="3" spans="1:16" ht="15.6" customHeight="1">
      <c r="A3" s="555" t="str">
        <f>Capa!A5</f>
        <v>24º Relatório Gerencial Financeiro</v>
      </c>
      <c r="B3" s="555"/>
      <c r="C3" s="555"/>
      <c r="D3" s="555"/>
      <c r="E3" s="555"/>
      <c r="F3" s="555"/>
      <c r="G3" s="555"/>
      <c r="H3" s="555"/>
      <c r="I3" s="555"/>
      <c r="J3" s="555"/>
      <c r="K3" s="555"/>
      <c r="L3" s="176"/>
      <c r="M3" s="176"/>
      <c r="N3" s="176"/>
      <c r="O3" s="176"/>
      <c r="P3" s="176"/>
    </row>
    <row r="4" spans="1:16" ht="25.5" customHeight="1">
      <c r="A4" s="556" t="str">
        <f>"Tabela 11 - Lista de Trabalhadores e Estagiários com Vínculo ao "&amp;Capa!A1&amp;" em "&amp;YEAR(Resumo!C4)</f>
        <v>Tabela 11 - Lista de Trabalhadores e Estagiários com Vínculo ao Contrato de Gestão em 2026</v>
      </c>
      <c r="B4" s="556"/>
      <c r="C4" s="556"/>
      <c r="D4" s="556"/>
      <c r="E4" s="556"/>
      <c r="F4" s="556"/>
      <c r="G4" s="556"/>
      <c r="H4" s="556"/>
      <c r="I4" s="556"/>
      <c r="J4" s="556"/>
      <c r="K4" s="556"/>
      <c r="N4" s="178" t="s">
        <v>154</v>
      </c>
      <c r="O4" s="178" t="s">
        <v>294</v>
      </c>
    </row>
    <row r="5" spans="1:16" ht="46.5" customHeight="1">
      <c r="A5" s="345" t="s">
        <v>279</v>
      </c>
      <c r="B5" s="345" t="s">
        <v>295</v>
      </c>
      <c r="C5" s="345" t="s">
        <v>296</v>
      </c>
      <c r="D5" s="345" t="s">
        <v>297</v>
      </c>
      <c r="E5" s="345" t="s">
        <v>35</v>
      </c>
      <c r="F5" s="345" t="s">
        <v>382</v>
      </c>
      <c r="G5" s="345" t="s">
        <v>298</v>
      </c>
      <c r="H5" s="345" t="s">
        <v>33</v>
      </c>
      <c r="I5" s="346" t="s">
        <v>299</v>
      </c>
      <c r="J5" s="346" t="s">
        <v>300</v>
      </c>
      <c r="K5" s="346" t="s">
        <v>301</v>
      </c>
    </row>
    <row r="6" spans="1:16">
      <c r="A6" s="339">
        <v>1</v>
      </c>
      <c r="B6" s="340"/>
      <c r="C6" s="340"/>
      <c r="D6" s="340"/>
      <c r="E6" s="340"/>
      <c r="F6" s="341"/>
      <c r="G6" s="341"/>
      <c r="H6" s="342"/>
      <c r="I6" s="340"/>
      <c r="J6" s="343"/>
      <c r="K6" s="344"/>
    </row>
    <row r="7" spans="1:16">
      <c r="A7" s="339">
        <v>2</v>
      </c>
      <c r="B7" s="340"/>
      <c r="C7" s="340"/>
      <c r="D7" s="340"/>
      <c r="E7" s="340"/>
      <c r="F7" s="341"/>
      <c r="G7" s="341"/>
      <c r="H7" s="342"/>
      <c r="I7" s="340"/>
      <c r="J7" s="343"/>
      <c r="K7" s="344"/>
    </row>
    <row r="8" spans="1:16">
      <c r="A8" s="339">
        <v>3</v>
      </c>
      <c r="B8" s="340"/>
      <c r="C8" s="340"/>
      <c r="D8" s="340"/>
      <c r="E8" s="340"/>
      <c r="F8" s="341"/>
      <c r="G8" s="341"/>
      <c r="H8" s="342"/>
      <c r="I8" s="340"/>
      <c r="J8" s="343"/>
      <c r="K8" s="344"/>
    </row>
    <row r="9" spans="1:16">
      <c r="A9" s="339">
        <v>4</v>
      </c>
      <c r="B9" s="340"/>
      <c r="C9" s="340"/>
      <c r="D9" s="340"/>
      <c r="E9" s="340"/>
      <c r="F9" s="341"/>
      <c r="G9" s="341"/>
      <c r="H9" s="342"/>
      <c r="I9" s="340"/>
      <c r="J9" s="343"/>
      <c r="K9" s="344"/>
    </row>
    <row r="10" spans="1:16">
      <c r="A10" s="339">
        <v>5</v>
      </c>
      <c r="B10" s="340"/>
      <c r="C10" s="340"/>
      <c r="D10" s="340"/>
      <c r="E10" s="340"/>
      <c r="F10" s="341"/>
      <c r="G10" s="341"/>
      <c r="H10" s="342"/>
      <c r="I10" s="340"/>
      <c r="J10" s="343"/>
      <c r="K10" s="344"/>
    </row>
    <row r="11" spans="1:16">
      <c r="A11" s="339">
        <v>6</v>
      </c>
      <c r="B11" s="340"/>
      <c r="C11" s="340"/>
      <c r="D11" s="340"/>
      <c r="E11" s="340"/>
      <c r="F11" s="341"/>
      <c r="G11" s="341"/>
      <c r="H11" s="342"/>
      <c r="I11" s="340"/>
      <c r="J11" s="343"/>
      <c r="K11" s="344"/>
    </row>
    <row r="12" spans="1:16">
      <c r="A12" s="339">
        <v>7</v>
      </c>
      <c r="B12" s="340"/>
      <c r="C12" s="340"/>
      <c r="D12" s="340"/>
      <c r="E12" s="340"/>
      <c r="F12" s="341"/>
      <c r="G12" s="341"/>
      <c r="H12" s="342"/>
      <c r="I12" s="340"/>
      <c r="J12" s="343"/>
      <c r="K12" s="344"/>
    </row>
    <row r="13" spans="1:16">
      <c r="A13" s="339">
        <v>8</v>
      </c>
      <c r="B13" s="340"/>
      <c r="C13" s="340"/>
      <c r="D13" s="340"/>
      <c r="E13" s="340"/>
      <c r="F13" s="341"/>
      <c r="G13" s="341"/>
      <c r="H13" s="342"/>
      <c r="I13" s="340"/>
      <c r="J13" s="343"/>
      <c r="K13" s="344"/>
    </row>
    <row r="14" spans="1:16">
      <c r="A14" s="339">
        <v>9</v>
      </c>
      <c r="B14" s="340"/>
      <c r="C14" s="340"/>
      <c r="D14" s="340"/>
      <c r="E14" s="340"/>
      <c r="F14" s="341"/>
      <c r="G14" s="341"/>
      <c r="H14" s="342"/>
      <c r="I14" s="340"/>
      <c r="J14" s="343"/>
      <c r="K14" s="344"/>
    </row>
    <row r="15" spans="1:16">
      <c r="A15" s="339">
        <v>10</v>
      </c>
      <c r="B15" s="340"/>
      <c r="C15" s="340"/>
      <c r="D15" s="340"/>
      <c r="E15" s="340"/>
      <c r="F15" s="341"/>
      <c r="G15" s="341"/>
      <c r="H15" s="342"/>
      <c r="I15" s="340"/>
      <c r="J15" s="343"/>
      <c r="K15" s="344"/>
    </row>
    <row r="16" spans="1:16">
      <c r="A16" s="339">
        <v>11</v>
      </c>
      <c r="B16" s="340"/>
      <c r="C16" s="340"/>
      <c r="D16" s="340"/>
      <c r="E16" s="340"/>
      <c r="F16" s="341"/>
      <c r="G16" s="341"/>
      <c r="H16" s="342"/>
      <c r="I16" s="340"/>
      <c r="J16" s="343"/>
      <c r="K16" s="344"/>
    </row>
    <row r="17" spans="1:11">
      <c r="A17" s="339">
        <v>12</v>
      </c>
      <c r="B17" s="340"/>
      <c r="C17" s="340"/>
      <c r="D17" s="340"/>
      <c r="E17" s="340"/>
      <c r="F17" s="341"/>
      <c r="G17" s="341"/>
      <c r="H17" s="342"/>
      <c r="I17" s="340"/>
      <c r="J17" s="343"/>
      <c r="K17" s="344"/>
    </row>
    <row r="18" spans="1:11">
      <c r="A18" s="339">
        <v>13</v>
      </c>
      <c r="B18" s="340"/>
      <c r="C18" s="340"/>
      <c r="D18" s="340"/>
      <c r="E18" s="340"/>
      <c r="F18" s="341"/>
      <c r="G18" s="341"/>
      <c r="H18" s="342"/>
      <c r="I18" s="340"/>
      <c r="J18" s="343"/>
      <c r="K18" s="344"/>
    </row>
    <row r="19" spans="1:11">
      <c r="A19" s="339">
        <v>14</v>
      </c>
      <c r="B19" s="340"/>
      <c r="C19" s="340"/>
      <c r="D19" s="340"/>
      <c r="E19" s="340"/>
      <c r="F19" s="341"/>
      <c r="G19" s="341"/>
      <c r="H19" s="342"/>
      <c r="I19" s="340"/>
      <c r="J19" s="343"/>
      <c r="K19" s="344"/>
    </row>
    <row r="20" spans="1:11">
      <c r="A20" s="339">
        <v>15</v>
      </c>
      <c r="B20" s="340"/>
      <c r="C20" s="340"/>
      <c r="D20" s="340"/>
      <c r="E20" s="340"/>
      <c r="F20" s="341"/>
      <c r="G20" s="341"/>
      <c r="H20" s="342"/>
      <c r="I20" s="340"/>
      <c r="J20" s="343"/>
      <c r="K20" s="344"/>
    </row>
    <row r="21" spans="1:11">
      <c r="A21" s="339">
        <v>16</v>
      </c>
      <c r="B21" s="340"/>
      <c r="C21" s="340"/>
      <c r="D21" s="340"/>
      <c r="E21" s="340"/>
      <c r="F21" s="341"/>
      <c r="G21" s="341"/>
      <c r="H21" s="342"/>
      <c r="I21" s="340"/>
      <c r="J21" s="343"/>
      <c r="K21" s="344"/>
    </row>
    <row r="22" spans="1:11">
      <c r="A22" s="339">
        <v>17</v>
      </c>
      <c r="B22" s="340"/>
      <c r="C22" s="340"/>
      <c r="D22" s="340"/>
      <c r="E22" s="340"/>
      <c r="F22" s="341"/>
      <c r="G22" s="341"/>
      <c r="H22" s="342"/>
      <c r="I22" s="340"/>
      <c r="J22" s="343"/>
      <c r="K22" s="344"/>
    </row>
    <row r="23" spans="1:11">
      <c r="A23" s="339">
        <v>18</v>
      </c>
      <c r="B23" s="340"/>
      <c r="C23" s="340"/>
      <c r="D23" s="340"/>
      <c r="E23" s="340"/>
      <c r="F23" s="341"/>
      <c r="G23" s="341"/>
      <c r="H23" s="342"/>
      <c r="I23" s="340"/>
      <c r="J23" s="343"/>
      <c r="K23" s="344"/>
    </row>
    <row r="24" spans="1:11">
      <c r="A24" s="339">
        <v>19</v>
      </c>
      <c r="B24" s="340"/>
      <c r="C24" s="340"/>
      <c r="D24" s="340"/>
      <c r="E24" s="340"/>
      <c r="F24" s="341"/>
      <c r="G24" s="341"/>
      <c r="H24" s="342"/>
      <c r="I24" s="340"/>
      <c r="J24" s="343"/>
      <c r="K24" s="344"/>
    </row>
    <row r="25" spans="1:11">
      <c r="A25" s="339">
        <v>20</v>
      </c>
      <c r="B25" s="340"/>
      <c r="C25" s="340"/>
      <c r="D25" s="340"/>
      <c r="E25" s="340"/>
      <c r="F25" s="341"/>
      <c r="G25" s="341"/>
      <c r="H25" s="342"/>
      <c r="I25" s="340"/>
      <c r="J25" s="343"/>
      <c r="K25" s="344"/>
    </row>
    <row r="26" spans="1:11">
      <c r="A26" s="339">
        <v>21</v>
      </c>
      <c r="B26" s="340"/>
      <c r="C26" s="340"/>
      <c r="D26" s="340"/>
      <c r="E26" s="340"/>
      <c r="F26" s="341"/>
      <c r="G26" s="341"/>
      <c r="H26" s="342"/>
      <c r="I26" s="340"/>
      <c r="J26" s="343"/>
      <c r="K26" s="344"/>
    </row>
    <row r="27" spans="1:11">
      <c r="A27" s="339">
        <v>22</v>
      </c>
      <c r="B27" s="340"/>
      <c r="C27" s="340"/>
      <c r="D27" s="340"/>
      <c r="E27" s="340"/>
      <c r="F27" s="341"/>
      <c r="G27" s="341"/>
      <c r="H27" s="342"/>
      <c r="I27" s="340"/>
      <c r="J27" s="343"/>
      <c r="K27" s="344"/>
    </row>
    <row r="28" spans="1:11">
      <c r="A28" s="339">
        <v>23</v>
      </c>
      <c r="B28" s="340"/>
      <c r="C28" s="340"/>
      <c r="D28" s="340"/>
      <c r="E28" s="340"/>
      <c r="F28" s="341"/>
      <c r="G28" s="341"/>
      <c r="H28" s="342"/>
      <c r="I28" s="340"/>
      <c r="J28" s="343"/>
      <c r="K28" s="344"/>
    </row>
    <row r="29" spans="1:11">
      <c r="A29" s="339">
        <v>24</v>
      </c>
      <c r="B29" s="340"/>
      <c r="C29" s="340"/>
      <c r="D29" s="340"/>
      <c r="E29" s="340"/>
      <c r="F29" s="341"/>
      <c r="G29" s="341"/>
      <c r="H29" s="342"/>
      <c r="I29" s="340"/>
      <c r="J29" s="343"/>
      <c r="K29" s="344"/>
    </row>
    <row r="30" spans="1:11">
      <c r="A30" s="339">
        <v>25</v>
      </c>
      <c r="B30" s="340"/>
      <c r="C30" s="340"/>
      <c r="D30" s="340"/>
      <c r="E30" s="340"/>
      <c r="F30" s="341"/>
      <c r="G30" s="341"/>
      <c r="H30" s="342"/>
      <c r="I30" s="340"/>
      <c r="J30" s="343"/>
      <c r="K30" s="344"/>
    </row>
    <row r="31" spans="1:11">
      <c r="A31" s="339">
        <v>26</v>
      </c>
      <c r="B31" s="340"/>
      <c r="C31" s="340"/>
      <c r="D31" s="340"/>
      <c r="E31" s="340"/>
      <c r="F31" s="341"/>
      <c r="G31" s="341"/>
      <c r="H31" s="342"/>
      <c r="I31" s="340"/>
      <c r="J31" s="343"/>
      <c r="K31" s="344"/>
    </row>
    <row r="32" spans="1:11">
      <c r="A32" s="339">
        <v>27</v>
      </c>
      <c r="B32" s="340"/>
      <c r="C32" s="340"/>
      <c r="D32" s="340"/>
      <c r="E32" s="340"/>
      <c r="F32" s="341"/>
      <c r="G32" s="341"/>
      <c r="H32" s="342"/>
      <c r="I32" s="340"/>
      <c r="J32" s="343"/>
      <c r="K32" s="344"/>
    </row>
    <row r="33" spans="1:11">
      <c r="A33" s="339">
        <v>28</v>
      </c>
      <c r="B33" s="340"/>
      <c r="C33" s="340"/>
      <c r="D33" s="340"/>
      <c r="E33" s="340"/>
      <c r="F33" s="341"/>
      <c r="G33" s="341"/>
      <c r="H33" s="342"/>
      <c r="I33" s="340"/>
      <c r="J33" s="343"/>
      <c r="K33" s="344"/>
    </row>
    <row r="34" spans="1:11">
      <c r="A34" s="339">
        <v>29</v>
      </c>
      <c r="B34" s="340"/>
      <c r="C34" s="340"/>
      <c r="D34" s="340"/>
      <c r="E34" s="340"/>
      <c r="F34" s="341"/>
      <c r="G34" s="341"/>
      <c r="H34" s="342"/>
      <c r="I34" s="340"/>
      <c r="J34" s="343"/>
      <c r="K34" s="344"/>
    </row>
    <row r="35" spans="1:11">
      <c r="A35" s="339">
        <v>30</v>
      </c>
      <c r="B35" s="340"/>
      <c r="C35" s="340"/>
      <c r="D35" s="340"/>
      <c r="E35" s="340"/>
      <c r="F35" s="341"/>
      <c r="G35" s="341"/>
      <c r="H35" s="342"/>
      <c r="I35" s="340"/>
      <c r="J35" s="343"/>
      <c r="K35" s="344"/>
    </row>
    <row r="36" spans="1:11">
      <c r="A36" s="339">
        <v>31</v>
      </c>
      <c r="B36" s="340"/>
      <c r="C36" s="340"/>
      <c r="D36" s="340"/>
      <c r="E36" s="340"/>
      <c r="F36" s="341"/>
      <c r="G36" s="341"/>
      <c r="H36" s="342"/>
      <c r="I36" s="340"/>
      <c r="J36" s="343"/>
      <c r="K36" s="344"/>
    </row>
    <row r="37" spans="1:11">
      <c r="A37" s="339">
        <v>32</v>
      </c>
      <c r="B37" s="340"/>
      <c r="C37" s="340"/>
      <c r="D37" s="340"/>
      <c r="E37" s="340"/>
      <c r="F37" s="341"/>
      <c r="G37" s="341"/>
      <c r="H37" s="342"/>
      <c r="I37" s="340"/>
      <c r="J37" s="343"/>
      <c r="K37" s="344"/>
    </row>
    <row r="38" spans="1:11">
      <c r="A38" s="339">
        <v>33</v>
      </c>
      <c r="B38" s="340"/>
      <c r="C38" s="340"/>
      <c r="D38" s="340"/>
      <c r="E38" s="340"/>
      <c r="F38" s="341"/>
      <c r="G38" s="341"/>
      <c r="H38" s="342"/>
      <c r="I38" s="340"/>
      <c r="J38" s="343"/>
      <c r="K38" s="344"/>
    </row>
    <row r="39" spans="1:11">
      <c r="A39" s="339">
        <v>34</v>
      </c>
      <c r="B39" s="340"/>
      <c r="C39" s="340"/>
      <c r="D39" s="340"/>
      <c r="E39" s="340"/>
      <c r="F39" s="341"/>
      <c r="G39" s="341"/>
      <c r="H39" s="342"/>
      <c r="I39" s="340"/>
      <c r="J39" s="343"/>
      <c r="K39" s="344"/>
    </row>
    <row r="40" spans="1:11">
      <c r="A40" s="339">
        <v>35</v>
      </c>
      <c r="B40" s="340"/>
      <c r="C40" s="340"/>
      <c r="D40" s="340"/>
      <c r="E40" s="340"/>
      <c r="F40" s="341"/>
      <c r="G40" s="341"/>
      <c r="H40" s="342"/>
      <c r="I40" s="340"/>
      <c r="J40" s="343"/>
      <c r="K40" s="344"/>
    </row>
    <row r="41" spans="1:11">
      <c r="A41" s="339">
        <v>36</v>
      </c>
      <c r="B41" s="340"/>
      <c r="C41" s="340"/>
      <c r="D41" s="340"/>
      <c r="E41" s="340"/>
      <c r="F41" s="341"/>
      <c r="G41" s="341"/>
      <c r="H41" s="342"/>
      <c r="I41" s="340"/>
      <c r="J41" s="343"/>
      <c r="K41" s="344"/>
    </row>
    <row r="42" spans="1:11">
      <c r="A42" s="339">
        <v>37</v>
      </c>
      <c r="B42" s="340"/>
      <c r="C42" s="340"/>
      <c r="D42" s="340"/>
      <c r="E42" s="340"/>
      <c r="F42" s="341"/>
      <c r="G42" s="341"/>
      <c r="H42" s="342"/>
      <c r="I42" s="340"/>
      <c r="J42" s="343"/>
      <c r="K42" s="344"/>
    </row>
    <row r="43" spans="1:11">
      <c r="A43" s="339">
        <v>38</v>
      </c>
      <c r="B43" s="340"/>
      <c r="C43" s="340"/>
      <c r="D43" s="340"/>
      <c r="E43" s="340"/>
      <c r="F43" s="341"/>
      <c r="G43" s="341"/>
      <c r="H43" s="342"/>
      <c r="I43" s="340"/>
      <c r="J43" s="343"/>
      <c r="K43" s="344"/>
    </row>
    <row r="44" spans="1:11">
      <c r="A44" s="339">
        <v>39</v>
      </c>
      <c r="B44" s="340"/>
      <c r="C44" s="340"/>
      <c r="D44" s="340"/>
      <c r="E44" s="340"/>
      <c r="F44" s="341"/>
      <c r="G44" s="341"/>
      <c r="H44" s="342"/>
      <c r="I44" s="340"/>
      <c r="J44" s="343"/>
      <c r="K44" s="344"/>
    </row>
    <row r="45" spans="1:11">
      <c r="A45" s="339">
        <v>40</v>
      </c>
      <c r="B45" s="340"/>
      <c r="C45" s="340"/>
      <c r="D45" s="340"/>
      <c r="E45" s="340"/>
      <c r="F45" s="341"/>
      <c r="G45" s="341"/>
      <c r="H45" s="342"/>
      <c r="I45" s="340"/>
      <c r="J45" s="343"/>
      <c r="K45" s="344"/>
    </row>
    <row r="46" spans="1:11">
      <c r="A46" s="339">
        <v>41</v>
      </c>
      <c r="B46" s="340"/>
      <c r="C46" s="340"/>
      <c r="D46" s="340"/>
      <c r="E46" s="340"/>
      <c r="F46" s="341"/>
      <c r="G46" s="341"/>
      <c r="H46" s="342"/>
      <c r="I46" s="340"/>
      <c r="J46" s="343"/>
      <c r="K46" s="344"/>
    </row>
    <row r="47" spans="1:11">
      <c r="A47" s="339">
        <v>42</v>
      </c>
      <c r="B47" s="340"/>
      <c r="C47" s="340"/>
      <c r="D47" s="340"/>
      <c r="E47" s="340"/>
      <c r="F47" s="341"/>
      <c r="G47" s="341"/>
      <c r="H47" s="342"/>
      <c r="I47" s="340"/>
      <c r="J47" s="343"/>
      <c r="K47" s="344"/>
    </row>
    <row r="48" spans="1:11">
      <c r="A48" s="339">
        <v>43</v>
      </c>
      <c r="B48" s="340"/>
      <c r="C48" s="340"/>
      <c r="D48" s="340"/>
      <c r="E48" s="340"/>
      <c r="F48" s="341"/>
      <c r="G48" s="341"/>
      <c r="H48" s="342"/>
      <c r="I48" s="340"/>
      <c r="J48" s="343"/>
      <c r="K48" s="344"/>
    </row>
    <row r="49" spans="1:11">
      <c r="A49" s="339">
        <v>44</v>
      </c>
      <c r="B49" s="340"/>
      <c r="C49" s="340"/>
      <c r="D49" s="340"/>
      <c r="E49" s="340"/>
      <c r="F49" s="341"/>
      <c r="G49" s="341"/>
      <c r="H49" s="342"/>
      <c r="I49" s="340"/>
      <c r="J49" s="343"/>
      <c r="K49" s="344"/>
    </row>
    <row r="50" spans="1:11">
      <c r="A50" s="339">
        <v>45</v>
      </c>
      <c r="B50" s="340"/>
      <c r="C50" s="340"/>
      <c r="D50" s="340"/>
      <c r="E50" s="340"/>
      <c r="F50" s="341"/>
      <c r="G50" s="341"/>
      <c r="H50" s="342"/>
      <c r="I50" s="340"/>
      <c r="J50" s="343"/>
      <c r="K50" s="344"/>
    </row>
    <row r="51" spans="1:11">
      <c r="A51" s="339">
        <v>46</v>
      </c>
      <c r="B51" s="340"/>
      <c r="C51" s="340"/>
      <c r="D51" s="340"/>
      <c r="E51" s="340"/>
      <c r="F51" s="341"/>
      <c r="G51" s="341"/>
      <c r="H51" s="342"/>
      <c r="I51" s="340"/>
      <c r="J51" s="343"/>
      <c r="K51" s="344"/>
    </row>
    <row r="52" spans="1:11">
      <c r="A52" s="339">
        <v>47</v>
      </c>
      <c r="B52" s="340"/>
      <c r="C52" s="340"/>
      <c r="D52" s="340"/>
      <c r="E52" s="340"/>
      <c r="F52" s="341"/>
      <c r="G52" s="341"/>
      <c r="H52" s="342"/>
      <c r="I52" s="340"/>
      <c r="J52" s="343"/>
      <c r="K52" s="344"/>
    </row>
    <row r="53" spans="1:11">
      <c r="A53" s="339">
        <v>48</v>
      </c>
      <c r="B53" s="340"/>
      <c r="C53" s="340"/>
      <c r="D53" s="340"/>
      <c r="E53" s="340"/>
      <c r="F53" s="341"/>
      <c r="G53" s="341"/>
      <c r="H53" s="342"/>
      <c r="I53" s="340"/>
      <c r="J53" s="343"/>
      <c r="K53" s="344"/>
    </row>
    <row r="54" spans="1:11">
      <c r="A54" s="339">
        <v>49</v>
      </c>
      <c r="B54" s="340"/>
      <c r="C54" s="340"/>
      <c r="D54" s="340"/>
      <c r="E54" s="340"/>
      <c r="F54" s="341"/>
      <c r="G54" s="341"/>
      <c r="H54" s="342"/>
      <c r="I54" s="340"/>
      <c r="J54" s="343"/>
      <c r="K54" s="344"/>
    </row>
    <row r="55" spans="1:11">
      <c r="A55" s="339">
        <v>50</v>
      </c>
      <c r="B55" s="340"/>
      <c r="C55" s="340"/>
      <c r="D55" s="340"/>
      <c r="E55" s="340"/>
      <c r="F55" s="341"/>
      <c r="G55" s="341"/>
      <c r="H55" s="342"/>
      <c r="I55" s="340"/>
      <c r="J55" s="343"/>
      <c r="K55" s="344"/>
    </row>
    <row r="56" spans="1:11">
      <c r="A56" s="339">
        <v>51</v>
      </c>
      <c r="B56" s="340"/>
      <c r="C56" s="340"/>
      <c r="D56" s="340"/>
      <c r="E56" s="340"/>
      <c r="F56" s="341"/>
      <c r="G56" s="341"/>
      <c r="H56" s="342"/>
      <c r="I56" s="340"/>
      <c r="J56" s="343"/>
      <c r="K56" s="344"/>
    </row>
    <row r="57" spans="1:11">
      <c r="A57" s="339">
        <v>52</v>
      </c>
      <c r="B57" s="340"/>
      <c r="C57" s="340"/>
      <c r="D57" s="340"/>
      <c r="E57" s="340"/>
      <c r="F57" s="341"/>
      <c r="G57" s="341"/>
      <c r="H57" s="342"/>
      <c r="I57" s="340"/>
      <c r="J57" s="343"/>
      <c r="K57" s="344"/>
    </row>
    <row r="58" spans="1:11">
      <c r="A58" s="339">
        <v>53</v>
      </c>
      <c r="B58" s="340"/>
      <c r="C58" s="340"/>
      <c r="D58" s="340"/>
      <c r="E58" s="340"/>
      <c r="F58" s="341"/>
      <c r="G58" s="341"/>
      <c r="H58" s="342"/>
      <c r="I58" s="340"/>
      <c r="J58" s="343"/>
      <c r="K58" s="344"/>
    </row>
    <row r="59" spans="1:11">
      <c r="A59" s="339">
        <v>54</v>
      </c>
      <c r="B59" s="340"/>
      <c r="C59" s="340"/>
      <c r="D59" s="340"/>
      <c r="E59" s="340"/>
      <c r="F59" s="341"/>
      <c r="G59" s="341"/>
      <c r="H59" s="342"/>
      <c r="I59" s="340"/>
      <c r="J59" s="343"/>
      <c r="K59" s="344"/>
    </row>
    <row r="60" spans="1:11">
      <c r="A60" s="339">
        <v>55</v>
      </c>
      <c r="B60" s="340"/>
      <c r="C60" s="340"/>
      <c r="D60" s="340"/>
      <c r="E60" s="340"/>
      <c r="F60" s="341"/>
      <c r="G60" s="341"/>
      <c r="H60" s="342"/>
      <c r="I60" s="340"/>
      <c r="J60" s="343"/>
      <c r="K60" s="344"/>
    </row>
    <row r="61" spans="1:11">
      <c r="A61" s="339">
        <v>56</v>
      </c>
      <c r="B61" s="340"/>
      <c r="C61" s="340"/>
      <c r="D61" s="340"/>
      <c r="E61" s="340"/>
      <c r="F61" s="341"/>
      <c r="G61" s="341"/>
      <c r="H61" s="342"/>
      <c r="I61" s="340"/>
      <c r="J61" s="343"/>
      <c r="K61" s="344"/>
    </row>
    <row r="62" spans="1:11">
      <c r="A62" s="339">
        <v>57</v>
      </c>
      <c r="B62" s="340"/>
      <c r="C62" s="340"/>
      <c r="D62" s="340"/>
      <c r="E62" s="340"/>
      <c r="F62" s="341"/>
      <c r="G62" s="341"/>
      <c r="H62" s="342"/>
      <c r="I62" s="340"/>
      <c r="J62" s="343"/>
      <c r="K62" s="344"/>
    </row>
    <row r="63" spans="1:11">
      <c r="A63" s="339">
        <v>58</v>
      </c>
      <c r="B63" s="340"/>
      <c r="C63" s="340"/>
      <c r="D63" s="340"/>
      <c r="E63" s="340"/>
      <c r="F63" s="341"/>
      <c r="G63" s="341"/>
      <c r="H63" s="342"/>
      <c r="I63" s="340"/>
      <c r="J63" s="343"/>
      <c r="K63" s="344"/>
    </row>
    <row r="64" spans="1:11">
      <c r="A64" s="339">
        <v>59</v>
      </c>
      <c r="B64" s="340"/>
      <c r="C64" s="340"/>
      <c r="D64" s="340"/>
      <c r="E64" s="340"/>
      <c r="F64" s="341"/>
      <c r="G64" s="341"/>
      <c r="H64" s="342"/>
      <c r="I64" s="340"/>
      <c r="J64" s="343"/>
      <c r="K64" s="344"/>
    </row>
    <row r="65" spans="1:11">
      <c r="A65" s="339">
        <v>60</v>
      </c>
      <c r="B65" s="340"/>
      <c r="C65" s="340"/>
      <c r="D65" s="340"/>
      <c r="E65" s="340"/>
      <c r="F65" s="341"/>
      <c r="G65" s="341"/>
      <c r="H65" s="342"/>
      <c r="I65" s="340"/>
      <c r="J65" s="343"/>
      <c r="K65" s="344"/>
    </row>
    <row r="66" spans="1:11">
      <c r="A66" s="339">
        <v>61</v>
      </c>
      <c r="B66" s="340"/>
      <c r="C66" s="340"/>
      <c r="D66" s="340"/>
      <c r="E66" s="340"/>
      <c r="F66" s="341"/>
      <c r="G66" s="341"/>
      <c r="H66" s="342"/>
      <c r="I66" s="340"/>
      <c r="J66" s="343"/>
      <c r="K66" s="344"/>
    </row>
    <row r="67" spans="1:11">
      <c r="A67" s="339">
        <v>62</v>
      </c>
      <c r="B67" s="340"/>
      <c r="C67" s="340"/>
      <c r="D67" s="340"/>
      <c r="E67" s="340"/>
      <c r="F67" s="341"/>
      <c r="G67" s="341"/>
      <c r="H67" s="342"/>
      <c r="I67" s="340"/>
      <c r="J67" s="343"/>
      <c r="K67" s="344"/>
    </row>
    <row r="68" spans="1:11">
      <c r="A68" s="339">
        <v>63</v>
      </c>
      <c r="B68" s="340"/>
      <c r="C68" s="340"/>
      <c r="D68" s="340"/>
      <c r="E68" s="340"/>
      <c r="F68" s="341"/>
      <c r="G68" s="341"/>
      <c r="H68" s="342"/>
      <c r="I68" s="340"/>
      <c r="J68" s="343"/>
      <c r="K68" s="344"/>
    </row>
    <row r="69" spans="1:11">
      <c r="A69" s="339">
        <v>64</v>
      </c>
      <c r="B69" s="340"/>
      <c r="C69" s="340"/>
      <c r="D69" s="340"/>
      <c r="E69" s="340"/>
      <c r="F69" s="341"/>
      <c r="G69" s="341"/>
      <c r="H69" s="342"/>
      <c r="I69" s="340"/>
      <c r="J69" s="343"/>
      <c r="K69" s="344"/>
    </row>
    <row r="70" spans="1:11">
      <c r="A70" s="339">
        <v>65</v>
      </c>
      <c r="B70" s="340"/>
      <c r="C70" s="340"/>
      <c r="D70" s="340"/>
      <c r="E70" s="340"/>
      <c r="F70" s="341"/>
      <c r="G70" s="341"/>
      <c r="H70" s="342"/>
      <c r="I70" s="340"/>
      <c r="J70" s="343"/>
      <c r="K70" s="344"/>
    </row>
    <row r="71" spans="1:11">
      <c r="A71" s="339">
        <v>66</v>
      </c>
      <c r="B71" s="340"/>
      <c r="C71" s="340"/>
      <c r="D71" s="340"/>
      <c r="E71" s="340"/>
      <c r="F71" s="341"/>
      <c r="G71" s="341"/>
      <c r="H71" s="342"/>
      <c r="I71" s="340"/>
      <c r="J71" s="343"/>
      <c r="K71" s="344"/>
    </row>
    <row r="72" spans="1:11">
      <c r="A72" s="339">
        <v>67</v>
      </c>
      <c r="B72" s="340"/>
      <c r="C72" s="340"/>
      <c r="D72" s="340"/>
      <c r="E72" s="340"/>
      <c r="F72" s="341"/>
      <c r="G72" s="341"/>
      <c r="H72" s="342"/>
      <c r="I72" s="340"/>
      <c r="J72" s="343"/>
      <c r="K72" s="344"/>
    </row>
    <row r="73" spans="1:11">
      <c r="A73" s="339">
        <v>68</v>
      </c>
      <c r="B73" s="340"/>
      <c r="C73" s="340"/>
      <c r="D73" s="340"/>
      <c r="E73" s="340"/>
      <c r="F73" s="341"/>
      <c r="G73" s="341"/>
      <c r="H73" s="342"/>
      <c r="I73" s="340"/>
      <c r="J73" s="343"/>
      <c r="K73" s="344"/>
    </row>
    <row r="74" spans="1:11">
      <c r="A74" s="339">
        <v>69</v>
      </c>
      <c r="B74" s="340"/>
      <c r="C74" s="340"/>
      <c r="D74" s="340"/>
      <c r="E74" s="340"/>
      <c r="F74" s="341"/>
      <c r="G74" s="341"/>
      <c r="H74" s="342"/>
      <c r="I74" s="340"/>
      <c r="J74" s="343"/>
      <c r="K74" s="344"/>
    </row>
    <row r="75" spans="1:11">
      <c r="A75" s="339">
        <v>70</v>
      </c>
      <c r="B75" s="340"/>
      <c r="C75" s="340"/>
      <c r="D75" s="340"/>
      <c r="E75" s="340"/>
      <c r="F75" s="341"/>
      <c r="G75" s="341"/>
      <c r="H75" s="342"/>
      <c r="I75" s="340"/>
      <c r="J75" s="343"/>
      <c r="K75" s="344"/>
    </row>
    <row r="76" spans="1:11">
      <c r="A76" s="339">
        <v>71</v>
      </c>
      <c r="B76" s="340"/>
      <c r="C76" s="340"/>
      <c r="D76" s="340"/>
      <c r="E76" s="340"/>
      <c r="F76" s="341"/>
      <c r="G76" s="341"/>
      <c r="H76" s="342"/>
      <c r="I76" s="340"/>
      <c r="J76" s="343"/>
      <c r="K76" s="344"/>
    </row>
    <row r="77" spans="1:11">
      <c r="A77" s="339">
        <v>72</v>
      </c>
      <c r="B77" s="340"/>
      <c r="C77" s="340"/>
      <c r="D77" s="340"/>
      <c r="E77" s="340"/>
      <c r="F77" s="341"/>
      <c r="G77" s="341"/>
      <c r="H77" s="342"/>
      <c r="I77" s="340"/>
      <c r="J77" s="343"/>
      <c r="K77" s="344"/>
    </row>
    <row r="78" spans="1:11">
      <c r="A78" s="339">
        <v>73</v>
      </c>
      <c r="B78" s="340"/>
      <c r="C78" s="340"/>
      <c r="D78" s="340"/>
      <c r="E78" s="340"/>
      <c r="F78" s="341"/>
      <c r="G78" s="341"/>
      <c r="H78" s="342"/>
      <c r="I78" s="340"/>
      <c r="J78" s="343"/>
      <c r="K78" s="344"/>
    </row>
    <row r="79" spans="1:11">
      <c r="A79" s="339">
        <v>74</v>
      </c>
      <c r="B79" s="340"/>
      <c r="C79" s="340"/>
      <c r="D79" s="340"/>
      <c r="E79" s="340"/>
      <c r="F79" s="341"/>
      <c r="G79" s="341"/>
      <c r="H79" s="342"/>
      <c r="I79" s="340"/>
      <c r="J79" s="343"/>
      <c r="K79" s="344"/>
    </row>
    <row r="80" spans="1:11">
      <c r="A80" s="339">
        <v>75</v>
      </c>
      <c r="B80" s="340"/>
      <c r="C80" s="340"/>
      <c r="D80" s="340"/>
      <c r="E80" s="340"/>
      <c r="F80" s="341"/>
      <c r="G80" s="341"/>
      <c r="H80" s="342"/>
      <c r="I80" s="340"/>
      <c r="J80" s="343"/>
      <c r="K80" s="344"/>
    </row>
    <row r="81" spans="1:11">
      <c r="A81" s="339">
        <v>76</v>
      </c>
      <c r="B81" s="340"/>
      <c r="C81" s="340"/>
      <c r="D81" s="340"/>
      <c r="E81" s="340"/>
      <c r="F81" s="341"/>
      <c r="G81" s="341"/>
      <c r="H81" s="342"/>
      <c r="I81" s="340"/>
      <c r="J81" s="343"/>
      <c r="K81" s="344"/>
    </row>
    <row r="82" spans="1:11">
      <c r="A82" s="339">
        <v>77</v>
      </c>
      <c r="B82" s="340"/>
      <c r="C82" s="340"/>
      <c r="D82" s="340"/>
      <c r="E82" s="340"/>
      <c r="F82" s="341"/>
      <c r="G82" s="341"/>
      <c r="H82" s="342"/>
      <c r="I82" s="340"/>
      <c r="J82" s="343"/>
      <c r="K82" s="344"/>
    </row>
    <row r="83" spans="1:11">
      <c r="A83" s="339">
        <v>78</v>
      </c>
      <c r="B83" s="340"/>
      <c r="C83" s="340"/>
      <c r="D83" s="340"/>
      <c r="E83" s="340"/>
      <c r="F83" s="341"/>
      <c r="G83" s="341"/>
      <c r="H83" s="342"/>
      <c r="I83" s="340"/>
      <c r="J83" s="343"/>
      <c r="K83" s="344"/>
    </row>
    <row r="84" spans="1:11">
      <c r="A84" s="339">
        <v>79</v>
      </c>
      <c r="B84" s="340"/>
      <c r="C84" s="340"/>
      <c r="D84" s="340"/>
      <c r="E84" s="340"/>
      <c r="F84" s="341"/>
      <c r="G84" s="341"/>
      <c r="H84" s="342"/>
      <c r="I84" s="340"/>
      <c r="J84" s="343"/>
      <c r="K84" s="344"/>
    </row>
    <row r="85" spans="1:11">
      <c r="A85" s="339">
        <v>80</v>
      </c>
      <c r="B85" s="340"/>
      <c r="C85" s="340"/>
      <c r="D85" s="340"/>
      <c r="E85" s="340"/>
      <c r="F85" s="341"/>
      <c r="G85" s="341"/>
      <c r="H85" s="342"/>
      <c r="I85" s="340"/>
      <c r="J85" s="343"/>
      <c r="K85" s="344"/>
    </row>
    <row r="86" spans="1:11">
      <c r="A86" s="339">
        <v>81</v>
      </c>
      <c r="B86" s="340"/>
      <c r="C86" s="340"/>
      <c r="D86" s="340"/>
      <c r="E86" s="340"/>
      <c r="F86" s="341"/>
      <c r="G86" s="341"/>
      <c r="H86" s="342"/>
      <c r="I86" s="340"/>
      <c r="J86" s="343"/>
      <c r="K86" s="344"/>
    </row>
    <row r="87" spans="1:11">
      <c r="A87" s="339">
        <v>82</v>
      </c>
      <c r="B87" s="340"/>
      <c r="C87" s="340"/>
      <c r="D87" s="340"/>
      <c r="E87" s="340"/>
      <c r="F87" s="341"/>
      <c r="G87" s="341"/>
      <c r="H87" s="342"/>
      <c r="I87" s="340"/>
      <c r="J87" s="343"/>
      <c r="K87" s="344"/>
    </row>
    <row r="88" spans="1:11">
      <c r="A88" s="339">
        <v>83</v>
      </c>
      <c r="B88" s="340"/>
      <c r="C88" s="340"/>
      <c r="D88" s="340"/>
      <c r="E88" s="340"/>
      <c r="F88" s="341"/>
      <c r="G88" s="341"/>
      <c r="H88" s="342"/>
      <c r="I88" s="340"/>
      <c r="J88" s="343"/>
      <c r="K88" s="344"/>
    </row>
    <row r="89" spans="1:11">
      <c r="A89" s="339">
        <v>84</v>
      </c>
      <c r="B89" s="340"/>
      <c r="C89" s="340"/>
      <c r="D89" s="340"/>
      <c r="E89" s="340"/>
      <c r="F89" s="341"/>
      <c r="G89" s="341"/>
      <c r="H89" s="342"/>
      <c r="I89" s="340"/>
      <c r="J89" s="343"/>
      <c r="K89" s="344"/>
    </row>
    <row r="90" spans="1:11">
      <c r="A90" s="339">
        <v>85</v>
      </c>
      <c r="B90" s="340"/>
      <c r="C90" s="340"/>
      <c r="D90" s="340"/>
      <c r="E90" s="340"/>
      <c r="F90" s="341"/>
      <c r="G90" s="341"/>
      <c r="H90" s="342"/>
      <c r="I90" s="340"/>
      <c r="J90" s="343"/>
      <c r="K90" s="344"/>
    </row>
    <row r="91" spans="1:11">
      <c r="A91" s="339">
        <v>86</v>
      </c>
      <c r="B91" s="340"/>
      <c r="C91" s="340"/>
      <c r="D91" s="340"/>
      <c r="E91" s="340"/>
      <c r="F91" s="341"/>
      <c r="G91" s="341"/>
      <c r="H91" s="342"/>
      <c r="I91" s="340"/>
      <c r="J91" s="343"/>
      <c r="K91" s="344"/>
    </row>
    <row r="92" spans="1:11">
      <c r="A92" s="339">
        <v>87</v>
      </c>
      <c r="B92" s="340"/>
      <c r="C92" s="340"/>
      <c r="D92" s="340"/>
      <c r="E92" s="340"/>
      <c r="F92" s="341"/>
      <c r="G92" s="341"/>
      <c r="H92" s="342"/>
      <c r="I92" s="340"/>
      <c r="J92" s="343"/>
      <c r="K92" s="344"/>
    </row>
    <row r="93" spans="1:11">
      <c r="A93" s="339">
        <v>88</v>
      </c>
      <c r="B93" s="340"/>
      <c r="C93" s="340"/>
      <c r="D93" s="340"/>
      <c r="E93" s="340"/>
      <c r="F93" s="341"/>
      <c r="G93" s="341"/>
      <c r="H93" s="342"/>
      <c r="I93" s="340"/>
      <c r="J93" s="343"/>
      <c r="K93" s="344"/>
    </row>
    <row r="94" spans="1:11">
      <c r="A94" s="339">
        <v>89</v>
      </c>
      <c r="B94" s="340"/>
      <c r="C94" s="340"/>
      <c r="D94" s="340"/>
      <c r="E94" s="340"/>
      <c r="F94" s="341"/>
      <c r="G94" s="341"/>
      <c r="H94" s="342"/>
      <c r="I94" s="340"/>
      <c r="J94" s="343"/>
      <c r="K94" s="344"/>
    </row>
    <row r="95" spans="1:11">
      <c r="A95" s="339">
        <v>90</v>
      </c>
      <c r="B95" s="340"/>
      <c r="C95" s="340"/>
      <c r="D95" s="340"/>
      <c r="E95" s="340"/>
      <c r="F95" s="341"/>
      <c r="G95" s="341"/>
      <c r="H95" s="342"/>
      <c r="I95" s="340"/>
      <c r="J95" s="343"/>
      <c r="K95" s="344"/>
    </row>
    <row r="96" spans="1:11">
      <c r="A96" s="339">
        <v>91</v>
      </c>
      <c r="B96" s="340"/>
      <c r="C96" s="340"/>
      <c r="D96" s="340"/>
      <c r="E96" s="340"/>
      <c r="F96" s="341"/>
      <c r="G96" s="341"/>
      <c r="H96" s="342"/>
      <c r="I96" s="340"/>
      <c r="J96" s="343"/>
      <c r="K96" s="344"/>
    </row>
    <row r="97" spans="1:11">
      <c r="A97" s="339">
        <v>92</v>
      </c>
      <c r="B97" s="340"/>
      <c r="C97" s="340"/>
      <c r="D97" s="340"/>
      <c r="E97" s="340"/>
      <c r="F97" s="341"/>
      <c r="G97" s="341"/>
      <c r="H97" s="342"/>
      <c r="I97" s="340"/>
      <c r="J97" s="343"/>
      <c r="K97" s="344"/>
    </row>
    <row r="98" spans="1:11">
      <c r="A98" s="339">
        <v>93</v>
      </c>
      <c r="B98" s="340"/>
      <c r="C98" s="340"/>
      <c r="D98" s="340"/>
      <c r="E98" s="340"/>
      <c r="F98" s="341"/>
      <c r="G98" s="341"/>
      <c r="H98" s="342"/>
      <c r="I98" s="340"/>
      <c r="J98" s="343"/>
      <c r="K98" s="344"/>
    </row>
    <row r="99" spans="1:11">
      <c r="A99" s="339">
        <v>94</v>
      </c>
      <c r="B99" s="340"/>
      <c r="C99" s="340"/>
      <c r="D99" s="340"/>
      <c r="E99" s="340"/>
      <c r="F99" s="341"/>
      <c r="G99" s="341"/>
      <c r="H99" s="342"/>
      <c r="I99" s="340"/>
      <c r="J99" s="343"/>
      <c r="K99" s="344"/>
    </row>
    <row r="100" spans="1:11">
      <c r="A100" s="339">
        <v>95</v>
      </c>
      <c r="B100" s="340"/>
      <c r="C100" s="340"/>
      <c r="D100" s="340"/>
      <c r="E100" s="340"/>
      <c r="F100" s="341"/>
      <c r="G100" s="341"/>
      <c r="H100" s="342"/>
      <c r="I100" s="340"/>
      <c r="J100" s="343"/>
      <c r="K100" s="344"/>
    </row>
    <row r="101" spans="1:11">
      <c r="A101" s="339">
        <v>96</v>
      </c>
      <c r="B101" s="340"/>
      <c r="C101" s="340"/>
      <c r="D101" s="340"/>
      <c r="E101" s="340"/>
      <c r="F101" s="341"/>
      <c r="G101" s="341"/>
      <c r="H101" s="342"/>
      <c r="I101" s="340"/>
      <c r="J101" s="343"/>
      <c r="K101" s="344"/>
    </row>
    <row r="102" spans="1:11">
      <c r="A102" s="339">
        <v>97</v>
      </c>
      <c r="B102" s="340"/>
      <c r="C102" s="340"/>
      <c r="D102" s="340"/>
      <c r="E102" s="340"/>
      <c r="F102" s="341"/>
      <c r="G102" s="341"/>
      <c r="H102" s="342"/>
      <c r="I102" s="340"/>
      <c r="J102" s="343"/>
      <c r="K102" s="344"/>
    </row>
    <row r="103" spans="1:11">
      <c r="A103" s="339">
        <v>98</v>
      </c>
      <c r="B103" s="340"/>
      <c r="C103" s="340"/>
      <c r="D103" s="340"/>
      <c r="E103" s="340"/>
      <c r="F103" s="341"/>
      <c r="G103" s="341"/>
      <c r="H103" s="342"/>
      <c r="I103" s="340"/>
      <c r="J103" s="343"/>
      <c r="K103" s="344"/>
    </row>
    <row r="104" spans="1:11">
      <c r="A104" s="339">
        <v>99</v>
      </c>
      <c r="B104" s="340"/>
      <c r="C104" s="340"/>
      <c r="D104" s="340"/>
      <c r="E104" s="340"/>
      <c r="F104" s="341"/>
      <c r="G104" s="341"/>
      <c r="H104" s="342"/>
      <c r="I104" s="340"/>
      <c r="J104" s="343"/>
      <c r="K104" s="344"/>
    </row>
    <row r="105" spans="1:11">
      <c r="A105" s="339">
        <v>100</v>
      </c>
      <c r="B105" s="340"/>
      <c r="C105" s="340"/>
      <c r="D105" s="340"/>
      <c r="E105" s="340"/>
      <c r="F105" s="341"/>
      <c r="G105" s="341"/>
      <c r="H105" s="342"/>
      <c r="I105" s="340"/>
      <c r="J105" s="343"/>
      <c r="K105" s="344"/>
    </row>
    <row r="106" spans="1:11">
      <c r="A106" s="339">
        <v>101</v>
      </c>
      <c r="B106" s="340"/>
      <c r="C106" s="340"/>
      <c r="D106" s="340"/>
      <c r="E106" s="340"/>
      <c r="F106" s="341"/>
      <c r="G106" s="341"/>
      <c r="H106" s="342"/>
      <c r="I106" s="340"/>
      <c r="J106" s="343"/>
      <c r="K106" s="344"/>
    </row>
    <row r="107" spans="1:11">
      <c r="A107" s="339">
        <v>102</v>
      </c>
      <c r="B107" s="340"/>
      <c r="C107" s="340"/>
      <c r="D107" s="340"/>
      <c r="E107" s="340"/>
      <c r="F107" s="341"/>
      <c r="G107" s="341"/>
      <c r="H107" s="342"/>
      <c r="I107" s="340"/>
      <c r="J107" s="343"/>
      <c r="K107" s="344"/>
    </row>
    <row r="108" spans="1:11">
      <c r="A108" s="339">
        <v>103</v>
      </c>
      <c r="B108" s="340"/>
      <c r="C108" s="340"/>
      <c r="D108" s="340"/>
      <c r="E108" s="340"/>
      <c r="F108" s="341"/>
      <c r="G108" s="341"/>
      <c r="H108" s="342"/>
      <c r="I108" s="340"/>
      <c r="J108" s="343"/>
      <c r="K108" s="344"/>
    </row>
    <row r="109" spans="1:11">
      <c r="A109" s="339">
        <v>104</v>
      </c>
      <c r="B109" s="340"/>
      <c r="C109" s="340"/>
      <c r="D109" s="340"/>
      <c r="E109" s="340"/>
      <c r="F109" s="341"/>
      <c r="G109" s="341"/>
      <c r="H109" s="342"/>
      <c r="I109" s="340"/>
      <c r="J109" s="343"/>
      <c r="K109" s="344"/>
    </row>
    <row r="110" spans="1:11">
      <c r="A110" s="339">
        <v>105</v>
      </c>
      <c r="B110" s="340"/>
      <c r="C110" s="340"/>
      <c r="D110" s="340"/>
      <c r="E110" s="340"/>
      <c r="F110" s="341"/>
      <c r="G110" s="341"/>
      <c r="H110" s="342"/>
      <c r="I110" s="340"/>
      <c r="J110" s="343"/>
      <c r="K110" s="344"/>
    </row>
    <row r="111" spans="1:11">
      <c r="A111" s="339">
        <v>106</v>
      </c>
      <c r="B111" s="340"/>
      <c r="C111" s="340"/>
      <c r="D111" s="340"/>
      <c r="E111" s="340"/>
      <c r="F111" s="341"/>
      <c r="G111" s="341"/>
      <c r="H111" s="342"/>
      <c r="I111" s="340"/>
      <c r="J111" s="343"/>
      <c r="K111" s="344"/>
    </row>
    <row r="112" spans="1:11">
      <c r="A112" s="339">
        <v>107</v>
      </c>
      <c r="B112" s="340"/>
      <c r="C112" s="340"/>
      <c r="D112" s="340"/>
      <c r="E112" s="340"/>
      <c r="F112" s="341"/>
      <c r="G112" s="341"/>
      <c r="H112" s="342"/>
      <c r="I112" s="340"/>
      <c r="J112" s="343"/>
      <c r="K112" s="344"/>
    </row>
    <row r="113" spans="1:11">
      <c r="A113" s="339">
        <v>108</v>
      </c>
      <c r="B113" s="340"/>
      <c r="C113" s="340"/>
      <c r="D113" s="340"/>
      <c r="E113" s="340"/>
      <c r="F113" s="341"/>
      <c r="G113" s="341"/>
      <c r="H113" s="342"/>
      <c r="I113" s="340"/>
      <c r="J113" s="343"/>
      <c r="K113" s="344"/>
    </row>
    <row r="114" spans="1:11">
      <c r="A114" s="339">
        <v>109</v>
      </c>
      <c r="B114" s="340"/>
      <c r="C114" s="340"/>
      <c r="D114" s="340"/>
      <c r="E114" s="340"/>
      <c r="F114" s="341"/>
      <c r="G114" s="341"/>
      <c r="H114" s="342"/>
      <c r="I114" s="340"/>
      <c r="J114" s="343"/>
      <c r="K114" s="344"/>
    </row>
    <row r="115" spans="1:11">
      <c r="A115" s="339">
        <v>110</v>
      </c>
      <c r="B115" s="340"/>
      <c r="C115" s="340"/>
      <c r="D115" s="340"/>
      <c r="E115" s="340"/>
      <c r="F115" s="341"/>
      <c r="G115" s="341"/>
      <c r="H115" s="342"/>
      <c r="I115" s="340"/>
      <c r="J115" s="343"/>
      <c r="K115" s="344"/>
    </row>
    <row r="116" spans="1:11">
      <c r="A116" s="339">
        <v>111</v>
      </c>
      <c r="B116" s="340"/>
      <c r="C116" s="340"/>
      <c r="D116" s="340"/>
      <c r="E116" s="340"/>
      <c r="F116" s="341"/>
      <c r="G116" s="341"/>
      <c r="H116" s="342"/>
      <c r="I116" s="340"/>
      <c r="J116" s="343"/>
      <c r="K116" s="344"/>
    </row>
    <row r="117" spans="1:11">
      <c r="A117" s="339">
        <v>112</v>
      </c>
      <c r="B117" s="340"/>
      <c r="C117" s="340"/>
      <c r="D117" s="340"/>
      <c r="E117" s="340"/>
      <c r="F117" s="341"/>
      <c r="G117" s="341"/>
      <c r="H117" s="342"/>
      <c r="I117" s="340"/>
      <c r="J117" s="343"/>
      <c r="K117" s="344"/>
    </row>
    <row r="118" spans="1:11">
      <c r="A118" s="339">
        <v>113</v>
      </c>
      <c r="B118" s="340"/>
      <c r="C118" s="340"/>
      <c r="D118" s="340"/>
      <c r="E118" s="340"/>
      <c r="F118" s="341"/>
      <c r="G118" s="341"/>
      <c r="H118" s="342"/>
      <c r="I118" s="340"/>
      <c r="J118" s="343"/>
      <c r="K118" s="344"/>
    </row>
    <row r="119" spans="1:11">
      <c r="A119" s="339">
        <v>114</v>
      </c>
      <c r="B119" s="340"/>
      <c r="C119" s="340"/>
      <c r="D119" s="340"/>
      <c r="E119" s="340"/>
      <c r="F119" s="341"/>
      <c r="G119" s="341"/>
      <c r="H119" s="342"/>
      <c r="I119" s="340"/>
      <c r="J119" s="343"/>
      <c r="K119" s="344"/>
    </row>
    <row r="120" spans="1:11">
      <c r="A120" s="339">
        <v>115</v>
      </c>
      <c r="B120" s="340"/>
      <c r="C120" s="340"/>
      <c r="D120" s="340"/>
      <c r="E120" s="340"/>
      <c r="F120" s="341"/>
      <c r="G120" s="341"/>
      <c r="H120" s="342"/>
      <c r="I120" s="340"/>
      <c r="J120" s="343"/>
      <c r="K120" s="344"/>
    </row>
    <row r="121" spans="1:11">
      <c r="A121" s="339">
        <v>116</v>
      </c>
      <c r="B121" s="340"/>
      <c r="C121" s="340"/>
      <c r="D121" s="340"/>
      <c r="E121" s="340"/>
      <c r="F121" s="341"/>
      <c r="G121" s="341"/>
      <c r="H121" s="342"/>
      <c r="I121" s="340"/>
      <c r="J121" s="343"/>
      <c r="K121" s="344"/>
    </row>
    <row r="122" spans="1:11">
      <c r="A122" s="339">
        <v>117</v>
      </c>
      <c r="B122" s="340"/>
      <c r="C122" s="340"/>
      <c r="D122" s="340"/>
      <c r="E122" s="340"/>
      <c r="F122" s="341"/>
      <c r="G122" s="341"/>
      <c r="H122" s="342"/>
      <c r="I122" s="340"/>
      <c r="J122" s="343"/>
      <c r="K122" s="344"/>
    </row>
    <row r="123" spans="1:11">
      <c r="A123" s="339">
        <v>118</v>
      </c>
      <c r="B123" s="340"/>
      <c r="C123" s="340"/>
      <c r="D123" s="340"/>
      <c r="E123" s="340"/>
      <c r="F123" s="341"/>
      <c r="G123" s="341"/>
      <c r="H123" s="342"/>
      <c r="I123" s="340"/>
      <c r="J123" s="343"/>
      <c r="K123" s="344"/>
    </row>
    <row r="124" spans="1:11">
      <c r="A124" s="339">
        <v>119</v>
      </c>
      <c r="B124" s="340"/>
      <c r="C124" s="340"/>
      <c r="D124" s="340"/>
      <c r="E124" s="340"/>
      <c r="F124" s="341"/>
      <c r="G124" s="341"/>
      <c r="H124" s="342"/>
      <c r="I124" s="340"/>
      <c r="J124" s="343"/>
      <c r="K124" s="344"/>
    </row>
    <row r="125" spans="1:11">
      <c r="A125" s="339">
        <v>120</v>
      </c>
      <c r="B125" s="340"/>
      <c r="C125" s="340"/>
      <c r="D125" s="340"/>
      <c r="E125" s="340"/>
      <c r="F125" s="341"/>
      <c r="G125" s="341"/>
      <c r="H125" s="342"/>
      <c r="I125" s="340"/>
      <c r="J125" s="343"/>
      <c r="K125" s="344"/>
    </row>
    <row r="126" spans="1:11">
      <c r="A126" s="339">
        <v>121</v>
      </c>
      <c r="B126" s="340"/>
      <c r="C126" s="340"/>
      <c r="D126" s="340"/>
      <c r="E126" s="340"/>
      <c r="F126" s="341"/>
      <c r="G126" s="341"/>
      <c r="H126" s="342"/>
      <c r="I126" s="340"/>
      <c r="J126" s="343"/>
      <c r="K126" s="344"/>
    </row>
    <row r="127" spans="1:11">
      <c r="A127" s="339">
        <v>122</v>
      </c>
      <c r="B127" s="340"/>
      <c r="C127" s="340"/>
      <c r="D127" s="340"/>
      <c r="E127" s="340"/>
      <c r="F127" s="341"/>
      <c r="G127" s="341"/>
      <c r="H127" s="342"/>
      <c r="I127" s="340"/>
      <c r="J127" s="343"/>
      <c r="K127" s="344"/>
    </row>
    <row r="128" spans="1:11">
      <c r="A128" s="339">
        <v>123</v>
      </c>
      <c r="B128" s="340"/>
      <c r="C128" s="340"/>
      <c r="D128" s="340"/>
      <c r="E128" s="340"/>
      <c r="F128" s="341"/>
      <c r="G128" s="341"/>
      <c r="H128" s="342"/>
      <c r="I128" s="340"/>
      <c r="J128" s="343"/>
      <c r="K128" s="344"/>
    </row>
    <row r="129" spans="1:11">
      <c r="A129" s="339">
        <v>124</v>
      </c>
      <c r="B129" s="340"/>
      <c r="C129" s="340"/>
      <c r="D129" s="340"/>
      <c r="E129" s="340"/>
      <c r="F129" s="341"/>
      <c r="G129" s="341"/>
      <c r="H129" s="342"/>
      <c r="I129" s="340"/>
      <c r="J129" s="343"/>
      <c r="K129" s="344"/>
    </row>
    <row r="130" spans="1:11">
      <c r="A130" s="339">
        <v>125</v>
      </c>
      <c r="B130" s="340"/>
      <c r="C130" s="340"/>
      <c r="D130" s="340"/>
      <c r="E130" s="340"/>
      <c r="F130" s="341"/>
      <c r="G130" s="341"/>
      <c r="H130" s="342"/>
      <c r="I130" s="340"/>
      <c r="J130" s="343"/>
      <c r="K130" s="344"/>
    </row>
    <row r="131" spans="1:11">
      <c r="A131" s="339">
        <v>126</v>
      </c>
      <c r="B131" s="340"/>
      <c r="C131" s="340"/>
      <c r="D131" s="340"/>
      <c r="E131" s="340"/>
      <c r="F131" s="341"/>
      <c r="G131" s="341"/>
      <c r="H131" s="342"/>
      <c r="I131" s="340"/>
      <c r="J131" s="343"/>
      <c r="K131" s="344"/>
    </row>
    <row r="132" spans="1:11">
      <c r="A132" s="339">
        <v>127</v>
      </c>
      <c r="B132" s="340"/>
      <c r="C132" s="340"/>
      <c r="D132" s="340"/>
      <c r="E132" s="340"/>
      <c r="F132" s="341"/>
      <c r="G132" s="341"/>
      <c r="H132" s="342"/>
      <c r="I132" s="340"/>
      <c r="J132" s="343"/>
      <c r="K132" s="344"/>
    </row>
    <row r="133" spans="1:11">
      <c r="A133" s="339">
        <v>128</v>
      </c>
      <c r="B133" s="340"/>
      <c r="C133" s="340"/>
      <c r="D133" s="340"/>
      <c r="E133" s="340"/>
      <c r="F133" s="341"/>
      <c r="G133" s="341"/>
      <c r="H133" s="342"/>
      <c r="I133" s="340"/>
      <c r="J133" s="343"/>
      <c r="K133" s="344"/>
    </row>
    <row r="134" spans="1:11">
      <c r="A134" s="339">
        <v>129</v>
      </c>
      <c r="B134" s="340"/>
      <c r="C134" s="340"/>
      <c r="D134" s="340"/>
      <c r="E134" s="340"/>
      <c r="F134" s="341"/>
      <c r="G134" s="341"/>
      <c r="H134" s="342"/>
      <c r="I134" s="340"/>
      <c r="J134" s="343"/>
      <c r="K134" s="344"/>
    </row>
    <row r="135" spans="1:11">
      <c r="A135" s="339">
        <v>130</v>
      </c>
      <c r="B135" s="340"/>
      <c r="C135" s="340"/>
      <c r="D135" s="340"/>
      <c r="E135" s="340"/>
      <c r="F135" s="341"/>
      <c r="G135" s="341"/>
      <c r="H135" s="342"/>
      <c r="I135" s="340"/>
      <c r="J135" s="343"/>
      <c r="K135" s="344"/>
    </row>
    <row r="136" spans="1:11">
      <c r="A136" s="339">
        <v>131</v>
      </c>
      <c r="B136" s="340"/>
      <c r="C136" s="340"/>
      <c r="D136" s="340"/>
      <c r="E136" s="340"/>
      <c r="F136" s="341"/>
      <c r="G136" s="341"/>
      <c r="H136" s="342"/>
      <c r="I136" s="340"/>
      <c r="J136" s="343"/>
      <c r="K136" s="344"/>
    </row>
    <row r="137" spans="1:11">
      <c r="A137" s="339">
        <v>132</v>
      </c>
      <c r="B137" s="340"/>
      <c r="C137" s="340"/>
      <c r="D137" s="340"/>
      <c r="E137" s="340"/>
      <c r="F137" s="341"/>
      <c r="G137" s="341"/>
      <c r="H137" s="342"/>
      <c r="I137" s="340"/>
      <c r="J137" s="343"/>
      <c r="K137" s="344"/>
    </row>
    <row r="138" spans="1:11">
      <c r="A138" s="339">
        <v>133</v>
      </c>
      <c r="B138" s="340"/>
      <c r="C138" s="340"/>
      <c r="D138" s="340"/>
      <c r="E138" s="340"/>
      <c r="F138" s="341"/>
      <c r="G138" s="341"/>
      <c r="H138" s="342"/>
      <c r="I138" s="340"/>
      <c r="J138" s="343"/>
      <c r="K138" s="344"/>
    </row>
    <row r="139" spans="1:11">
      <c r="A139" s="339">
        <v>134</v>
      </c>
      <c r="B139" s="340"/>
      <c r="C139" s="340"/>
      <c r="D139" s="340"/>
      <c r="E139" s="340"/>
      <c r="F139" s="341"/>
      <c r="G139" s="341"/>
      <c r="H139" s="342"/>
      <c r="I139" s="340"/>
      <c r="J139" s="343"/>
      <c r="K139" s="344"/>
    </row>
    <row r="140" spans="1:11">
      <c r="A140" s="339">
        <v>135</v>
      </c>
      <c r="B140" s="340"/>
      <c r="C140" s="340"/>
      <c r="D140" s="340"/>
      <c r="E140" s="340"/>
      <c r="F140" s="341"/>
      <c r="G140" s="341"/>
      <c r="H140" s="342"/>
      <c r="I140" s="340"/>
      <c r="J140" s="343"/>
      <c r="K140" s="344"/>
    </row>
    <row r="141" spans="1:11">
      <c r="A141" s="339">
        <v>136</v>
      </c>
      <c r="B141" s="340"/>
      <c r="C141" s="340"/>
      <c r="D141" s="340"/>
      <c r="E141" s="340"/>
      <c r="F141" s="341"/>
      <c r="G141" s="341"/>
      <c r="H141" s="342"/>
      <c r="I141" s="340"/>
      <c r="J141" s="343"/>
      <c r="K141" s="344"/>
    </row>
    <row r="142" spans="1:11">
      <c r="A142" s="339">
        <v>137</v>
      </c>
      <c r="B142" s="340"/>
      <c r="C142" s="340"/>
      <c r="D142" s="340"/>
      <c r="E142" s="340"/>
      <c r="F142" s="341"/>
      <c r="G142" s="341"/>
      <c r="H142" s="342"/>
      <c r="I142" s="340"/>
      <c r="J142" s="343"/>
      <c r="K142" s="344"/>
    </row>
    <row r="143" spans="1:11">
      <c r="A143" s="339">
        <v>138</v>
      </c>
      <c r="B143" s="340"/>
      <c r="C143" s="340"/>
      <c r="D143" s="340"/>
      <c r="E143" s="340"/>
      <c r="F143" s="341"/>
      <c r="G143" s="341"/>
      <c r="H143" s="342"/>
      <c r="I143" s="340"/>
      <c r="J143" s="343"/>
      <c r="K143" s="344"/>
    </row>
    <row r="144" spans="1:11">
      <c r="A144" s="339">
        <v>139</v>
      </c>
      <c r="B144" s="340"/>
      <c r="C144" s="340"/>
      <c r="D144" s="340"/>
      <c r="E144" s="340"/>
      <c r="F144" s="341"/>
      <c r="G144" s="341"/>
      <c r="H144" s="342"/>
      <c r="I144" s="340"/>
      <c r="J144" s="343"/>
      <c r="K144" s="344"/>
    </row>
    <row r="145" spans="1:11">
      <c r="A145" s="339">
        <v>140</v>
      </c>
      <c r="B145" s="340"/>
      <c r="C145" s="340"/>
      <c r="D145" s="340"/>
      <c r="E145" s="340"/>
      <c r="F145" s="341"/>
      <c r="G145" s="341"/>
      <c r="H145" s="342"/>
      <c r="I145" s="340"/>
      <c r="J145" s="343"/>
      <c r="K145" s="344"/>
    </row>
    <row r="146" spans="1:11">
      <c r="A146" s="339">
        <v>141</v>
      </c>
      <c r="B146" s="340"/>
      <c r="C146" s="340"/>
      <c r="D146" s="340"/>
      <c r="E146" s="340"/>
      <c r="F146" s="341"/>
      <c r="G146" s="341"/>
      <c r="H146" s="342"/>
      <c r="I146" s="340"/>
      <c r="J146" s="343"/>
      <c r="K146" s="344"/>
    </row>
    <row r="147" spans="1:11">
      <c r="A147" s="339">
        <v>142</v>
      </c>
      <c r="B147" s="340"/>
      <c r="C147" s="340"/>
      <c r="D147" s="340"/>
      <c r="E147" s="340"/>
      <c r="F147" s="341"/>
      <c r="G147" s="341"/>
      <c r="H147" s="342"/>
      <c r="I147" s="340"/>
      <c r="J147" s="343"/>
      <c r="K147" s="344"/>
    </row>
    <row r="148" spans="1:11">
      <c r="A148" s="339">
        <v>143</v>
      </c>
      <c r="B148" s="340"/>
      <c r="C148" s="340"/>
      <c r="D148" s="340"/>
      <c r="E148" s="340"/>
      <c r="F148" s="341"/>
      <c r="G148" s="341"/>
      <c r="H148" s="342"/>
      <c r="I148" s="340"/>
      <c r="J148" s="343"/>
      <c r="K148" s="344"/>
    </row>
    <row r="149" spans="1:11">
      <c r="A149" s="339">
        <v>144</v>
      </c>
      <c r="B149" s="340"/>
      <c r="C149" s="340"/>
      <c r="D149" s="340"/>
      <c r="E149" s="340"/>
      <c r="F149" s="341"/>
      <c r="G149" s="341"/>
      <c r="H149" s="342"/>
      <c r="I149" s="340"/>
      <c r="J149" s="343"/>
      <c r="K149" s="344"/>
    </row>
    <row r="150" spans="1:11">
      <c r="A150" s="339">
        <v>145</v>
      </c>
      <c r="B150" s="340"/>
      <c r="C150" s="340"/>
      <c r="D150" s="340"/>
      <c r="E150" s="340"/>
      <c r="F150" s="341"/>
      <c r="G150" s="341"/>
      <c r="H150" s="342"/>
      <c r="I150" s="340"/>
      <c r="J150" s="343"/>
      <c r="K150" s="344"/>
    </row>
    <row r="151" spans="1:11">
      <c r="A151" s="339">
        <v>146</v>
      </c>
      <c r="B151" s="340"/>
      <c r="C151" s="340"/>
      <c r="D151" s="340"/>
      <c r="E151" s="340"/>
      <c r="F151" s="341"/>
      <c r="G151" s="341"/>
      <c r="H151" s="342"/>
      <c r="I151" s="340"/>
      <c r="J151" s="343"/>
      <c r="K151" s="344"/>
    </row>
    <row r="152" spans="1:11">
      <c r="A152" s="339">
        <v>147</v>
      </c>
      <c r="B152" s="340"/>
      <c r="C152" s="340"/>
      <c r="D152" s="340"/>
      <c r="E152" s="340"/>
      <c r="F152" s="341"/>
      <c r="G152" s="341"/>
      <c r="H152" s="342"/>
      <c r="I152" s="340"/>
      <c r="J152" s="343"/>
      <c r="K152" s="344"/>
    </row>
    <row r="153" spans="1:11">
      <c r="A153" s="339">
        <v>148</v>
      </c>
      <c r="B153" s="340"/>
      <c r="C153" s="340"/>
      <c r="D153" s="340"/>
      <c r="E153" s="340"/>
      <c r="F153" s="341"/>
      <c r="G153" s="341"/>
      <c r="H153" s="342"/>
      <c r="I153" s="340"/>
      <c r="J153" s="343"/>
      <c r="K153" s="344"/>
    </row>
    <row r="154" spans="1:11">
      <c r="A154" s="339">
        <v>149</v>
      </c>
      <c r="B154" s="340"/>
      <c r="C154" s="340"/>
      <c r="D154" s="340"/>
      <c r="E154" s="340"/>
      <c r="F154" s="341"/>
      <c r="G154" s="341"/>
      <c r="H154" s="342"/>
      <c r="I154" s="340"/>
      <c r="J154" s="343"/>
      <c r="K154" s="344"/>
    </row>
    <row r="155" spans="1:11">
      <c r="A155" s="339">
        <v>150</v>
      </c>
      <c r="B155" s="340"/>
      <c r="C155" s="340"/>
      <c r="D155" s="340"/>
      <c r="E155" s="340"/>
      <c r="F155" s="341"/>
      <c r="G155" s="341"/>
      <c r="H155" s="342"/>
      <c r="I155" s="340"/>
      <c r="J155" s="343"/>
      <c r="K155" s="344"/>
    </row>
    <row r="156" spans="1:11">
      <c r="A156" s="339">
        <v>151</v>
      </c>
      <c r="B156" s="340"/>
      <c r="C156" s="340"/>
      <c r="D156" s="340"/>
      <c r="E156" s="340"/>
      <c r="F156" s="341"/>
      <c r="G156" s="341"/>
      <c r="H156" s="342"/>
      <c r="I156" s="340"/>
      <c r="J156" s="343"/>
      <c r="K156" s="344"/>
    </row>
    <row r="157" spans="1:11">
      <c r="A157" s="339">
        <v>152</v>
      </c>
      <c r="B157" s="340"/>
      <c r="C157" s="340"/>
      <c r="D157" s="340"/>
      <c r="E157" s="340"/>
      <c r="F157" s="341"/>
      <c r="G157" s="341"/>
      <c r="H157" s="342"/>
      <c r="I157" s="340"/>
      <c r="J157" s="343"/>
      <c r="K157" s="344"/>
    </row>
    <row r="158" spans="1:11">
      <c r="A158" s="339">
        <v>153</v>
      </c>
      <c r="B158" s="340"/>
      <c r="C158" s="340"/>
      <c r="D158" s="340"/>
      <c r="E158" s="340"/>
      <c r="F158" s="341"/>
      <c r="G158" s="341"/>
      <c r="H158" s="342"/>
      <c r="I158" s="340"/>
      <c r="J158" s="343"/>
      <c r="K158" s="344"/>
    </row>
    <row r="159" spans="1:11">
      <c r="A159" s="339">
        <v>154</v>
      </c>
      <c r="B159" s="340"/>
      <c r="C159" s="340"/>
      <c r="D159" s="340"/>
      <c r="E159" s="340"/>
      <c r="F159" s="341"/>
      <c r="G159" s="341"/>
      <c r="H159" s="342"/>
      <c r="I159" s="340"/>
      <c r="J159" s="343"/>
      <c r="K159" s="344"/>
    </row>
    <row r="160" spans="1:11">
      <c r="A160" s="339">
        <v>155</v>
      </c>
      <c r="B160" s="340"/>
      <c r="C160" s="340"/>
      <c r="D160" s="340"/>
      <c r="E160" s="340"/>
      <c r="F160" s="341"/>
      <c r="G160" s="341"/>
      <c r="H160" s="342"/>
      <c r="I160" s="340"/>
      <c r="J160" s="343"/>
      <c r="K160" s="344"/>
    </row>
    <row r="161" spans="1:11">
      <c r="A161" s="339">
        <v>156</v>
      </c>
      <c r="B161" s="340"/>
      <c r="C161" s="340"/>
      <c r="D161" s="340"/>
      <c r="E161" s="340"/>
      <c r="F161" s="341"/>
      <c r="G161" s="341"/>
      <c r="H161" s="342"/>
      <c r="I161" s="340"/>
      <c r="J161" s="343"/>
      <c r="K161" s="344"/>
    </row>
    <row r="162" spans="1:11">
      <c r="A162" s="339">
        <v>157</v>
      </c>
      <c r="B162" s="340"/>
      <c r="C162" s="340"/>
      <c r="D162" s="340"/>
      <c r="E162" s="340"/>
      <c r="F162" s="341"/>
      <c r="G162" s="341"/>
      <c r="H162" s="342"/>
      <c r="I162" s="340"/>
      <c r="J162" s="343"/>
      <c r="K162" s="344"/>
    </row>
    <row r="163" spans="1:11">
      <c r="A163" s="339">
        <v>158</v>
      </c>
      <c r="B163" s="340"/>
      <c r="C163" s="340"/>
      <c r="D163" s="340"/>
      <c r="E163" s="340"/>
      <c r="F163" s="341"/>
      <c r="G163" s="341"/>
      <c r="H163" s="342"/>
      <c r="I163" s="340"/>
      <c r="J163" s="343"/>
      <c r="K163" s="344"/>
    </row>
    <row r="164" spans="1:11">
      <c r="A164" s="339">
        <v>159</v>
      </c>
      <c r="B164" s="340"/>
      <c r="C164" s="340"/>
      <c r="D164" s="340"/>
      <c r="E164" s="340"/>
      <c r="F164" s="341"/>
      <c r="G164" s="341"/>
      <c r="H164" s="342"/>
      <c r="I164" s="340"/>
      <c r="J164" s="343"/>
      <c r="K164" s="344"/>
    </row>
    <row r="165" spans="1:11">
      <c r="A165" s="339">
        <v>160</v>
      </c>
      <c r="B165" s="340"/>
      <c r="C165" s="340"/>
      <c r="D165" s="340"/>
      <c r="E165" s="340"/>
      <c r="F165" s="341"/>
      <c r="G165" s="341"/>
      <c r="H165" s="342"/>
      <c r="I165" s="340"/>
      <c r="J165" s="343"/>
      <c r="K165" s="344"/>
    </row>
    <row r="166" spans="1:11">
      <c r="A166" s="339">
        <v>161</v>
      </c>
      <c r="B166" s="340"/>
      <c r="C166" s="340"/>
      <c r="D166" s="340"/>
      <c r="E166" s="340"/>
      <c r="F166" s="341"/>
      <c r="G166" s="341"/>
      <c r="H166" s="342"/>
      <c r="I166" s="340"/>
      <c r="J166" s="343"/>
      <c r="K166" s="344"/>
    </row>
    <row r="167" spans="1:11">
      <c r="A167" s="339">
        <v>162</v>
      </c>
      <c r="B167" s="340"/>
      <c r="C167" s="340"/>
      <c r="D167" s="340"/>
      <c r="E167" s="340"/>
      <c r="F167" s="341"/>
      <c r="G167" s="341"/>
      <c r="H167" s="342"/>
      <c r="I167" s="340"/>
      <c r="J167" s="343"/>
      <c r="K167" s="344"/>
    </row>
    <row r="168" spans="1:11">
      <c r="A168" s="339">
        <v>163</v>
      </c>
      <c r="B168" s="340"/>
      <c r="C168" s="340"/>
      <c r="D168" s="340"/>
      <c r="E168" s="340"/>
      <c r="F168" s="341"/>
      <c r="G168" s="341"/>
      <c r="H168" s="342"/>
      <c r="I168" s="340"/>
      <c r="J168" s="343"/>
      <c r="K168" s="344"/>
    </row>
    <row r="169" spans="1:11">
      <c r="A169" s="339">
        <v>164</v>
      </c>
      <c r="B169" s="340"/>
      <c r="C169" s="340"/>
      <c r="D169" s="340"/>
      <c r="E169" s="340"/>
      <c r="F169" s="341"/>
      <c r="G169" s="341"/>
      <c r="H169" s="342"/>
      <c r="I169" s="340"/>
      <c r="J169" s="343"/>
      <c r="K169" s="344"/>
    </row>
    <row r="170" spans="1:11">
      <c r="A170" s="339">
        <v>165</v>
      </c>
      <c r="B170" s="340"/>
      <c r="C170" s="340"/>
      <c r="D170" s="340"/>
      <c r="E170" s="340"/>
      <c r="F170" s="341"/>
      <c r="G170" s="341"/>
      <c r="H170" s="342"/>
      <c r="I170" s="340"/>
      <c r="J170" s="343"/>
      <c r="K170" s="344"/>
    </row>
    <row r="171" spans="1:11">
      <c r="A171" s="339">
        <v>166</v>
      </c>
      <c r="B171" s="340"/>
      <c r="C171" s="340"/>
      <c r="D171" s="340"/>
      <c r="E171" s="340"/>
      <c r="F171" s="341"/>
      <c r="G171" s="341"/>
      <c r="H171" s="342"/>
      <c r="I171" s="340"/>
      <c r="J171" s="343"/>
      <c r="K171" s="344"/>
    </row>
    <row r="172" spans="1:11">
      <c r="A172" s="339">
        <v>167</v>
      </c>
      <c r="B172" s="340"/>
      <c r="C172" s="340"/>
      <c r="D172" s="340"/>
      <c r="E172" s="340"/>
      <c r="F172" s="341"/>
      <c r="G172" s="341"/>
      <c r="H172" s="342"/>
      <c r="I172" s="340"/>
      <c r="J172" s="343"/>
      <c r="K172" s="344"/>
    </row>
    <row r="173" spans="1:11">
      <c r="A173" s="339">
        <v>168</v>
      </c>
      <c r="B173" s="340"/>
      <c r="C173" s="340"/>
      <c r="D173" s="340"/>
      <c r="E173" s="340"/>
      <c r="F173" s="341"/>
      <c r="G173" s="341"/>
      <c r="H173" s="342"/>
      <c r="I173" s="340"/>
      <c r="J173" s="343"/>
      <c r="K173" s="344"/>
    </row>
    <row r="174" spans="1:11">
      <c r="A174" s="339">
        <v>169</v>
      </c>
      <c r="B174" s="340"/>
      <c r="C174" s="340"/>
      <c r="D174" s="340"/>
      <c r="E174" s="340"/>
      <c r="F174" s="341"/>
      <c r="G174" s="341"/>
      <c r="H174" s="342"/>
      <c r="I174" s="340"/>
      <c r="J174" s="343"/>
      <c r="K174" s="344"/>
    </row>
    <row r="175" spans="1:11">
      <c r="A175" s="339">
        <v>170</v>
      </c>
      <c r="B175" s="340"/>
      <c r="C175" s="340"/>
      <c r="D175" s="340"/>
      <c r="E175" s="340"/>
      <c r="F175" s="341"/>
      <c r="G175" s="341"/>
      <c r="H175" s="342"/>
      <c r="I175" s="340"/>
      <c r="J175" s="343"/>
      <c r="K175" s="344"/>
    </row>
    <row r="176" spans="1:11">
      <c r="A176" s="339">
        <v>171</v>
      </c>
      <c r="B176" s="340"/>
      <c r="C176" s="340"/>
      <c r="D176" s="340"/>
      <c r="E176" s="340"/>
      <c r="F176" s="341"/>
      <c r="G176" s="341"/>
      <c r="H176" s="342"/>
      <c r="I176" s="340"/>
      <c r="J176" s="343"/>
      <c r="K176" s="344"/>
    </row>
    <row r="177" spans="1:11">
      <c r="A177" s="339">
        <v>172</v>
      </c>
      <c r="B177" s="340"/>
      <c r="C177" s="340"/>
      <c r="D177" s="340"/>
      <c r="E177" s="340"/>
      <c r="F177" s="341"/>
      <c r="G177" s="341"/>
      <c r="H177" s="342"/>
      <c r="I177" s="340"/>
      <c r="J177" s="343"/>
      <c r="K177" s="344"/>
    </row>
    <row r="178" spans="1:11">
      <c r="A178" s="339">
        <v>173</v>
      </c>
      <c r="B178" s="340"/>
      <c r="C178" s="340"/>
      <c r="D178" s="340"/>
      <c r="E178" s="340"/>
      <c r="F178" s="341"/>
      <c r="G178" s="341"/>
      <c r="H178" s="342"/>
      <c r="I178" s="340"/>
      <c r="J178" s="343"/>
      <c r="K178" s="344"/>
    </row>
    <row r="179" spans="1:11">
      <c r="A179" s="339">
        <v>174</v>
      </c>
      <c r="B179" s="340"/>
      <c r="C179" s="340"/>
      <c r="D179" s="340"/>
      <c r="E179" s="340"/>
      <c r="F179" s="341"/>
      <c r="G179" s="341"/>
      <c r="H179" s="342"/>
      <c r="I179" s="340"/>
      <c r="J179" s="343"/>
      <c r="K179" s="344"/>
    </row>
    <row r="180" spans="1:11">
      <c r="A180" s="339">
        <v>175</v>
      </c>
      <c r="B180" s="340"/>
      <c r="C180" s="340"/>
      <c r="D180" s="340"/>
      <c r="E180" s="340"/>
      <c r="F180" s="341"/>
      <c r="G180" s="341"/>
      <c r="H180" s="342"/>
      <c r="I180" s="340"/>
      <c r="J180" s="343"/>
      <c r="K180" s="344"/>
    </row>
    <row r="181" spans="1:11">
      <c r="A181" s="339">
        <v>176</v>
      </c>
      <c r="B181" s="340"/>
      <c r="C181" s="340"/>
      <c r="D181" s="340"/>
      <c r="E181" s="340"/>
      <c r="F181" s="341"/>
      <c r="G181" s="341"/>
      <c r="H181" s="342"/>
      <c r="I181" s="340"/>
      <c r="J181" s="343"/>
      <c r="K181" s="344"/>
    </row>
    <row r="182" spans="1:11">
      <c r="A182" s="339">
        <v>177</v>
      </c>
      <c r="B182" s="340"/>
      <c r="C182" s="340"/>
      <c r="D182" s="340"/>
      <c r="E182" s="340"/>
      <c r="F182" s="341"/>
      <c r="G182" s="341"/>
      <c r="H182" s="342"/>
      <c r="I182" s="340"/>
      <c r="J182" s="343"/>
      <c r="K182" s="344"/>
    </row>
    <row r="183" spans="1:11">
      <c r="A183" s="339">
        <v>178</v>
      </c>
      <c r="B183" s="340"/>
      <c r="C183" s="340"/>
      <c r="D183" s="340"/>
      <c r="E183" s="340"/>
      <c r="F183" s="341"/>
      <c r="G183" s="341"/>
      <c r="H183" s="342"/>
      <c r="I183" s="340"/>
      <c r="J183" s="343"/>
      <c r="K183" s="344"/>
    </row>
    <row r="184" spans="1:11">
      <c r="A184" s="339">
        <v>179</v>
      </c>
      <c r="B184" s="340"/>
      <c r="C184" s="340"/>
      <c r="D184" s="340"/>
      <c r="E184" s="340"/>
      <c r="F184" s="341"/>
      <c r="G184" s="341"/>
      <c r="H184" s="342"/>
      <c r="I184" s="340"/>
      <c r="J184" s="343"/>
      <c r="K184" s="344"/>
    </row>
    <row r="185" spans="1:11">
      <c r="A185" s="339">
        <v>180</v>
      </c>
      <c r="B185" s="340"/>
      <c r="C185" s="340"/>
      <c r="D185" s="340"/>
      <c r="E185" s="340"/>
      <c r="F185" s="341"/>
      <c r="G185" s="341"/>
      <c r="H185" s="342"/>
      <c r="I185" s="340"/>
      <c r="J185" s="343"/>
      <c r="K185" s="344"/>
    </row>
    <row r="186" spans="1:11">
      <c r="A186" s="339">
        <v>181</v>
      </c>
      <c r="B186" s="340"/>
      <c r="C186" s="340"/>
      <c r="D186" s="340"/>
      <c r="E186" s="340"/>
      <c r="F186" s="341"/>
      <c r="G186" s="341"/>
      <c r="H186" s="342"/>
      <c r="I186" s="340"/>
      <c r="J186" s="343"/>
      <c r="K186" s="344"/>
    </row>
    <row r="187" spans="1:11">
      <c r="A187" s="339">
        <v>182</v>
      </c>
      <c r="B187" s="340"/>
      <c r="C187" s="340"/>
      <c r="D187" s="340"/>
      <c r="E187" s="340"/>
      <c r="F187" s="341"/>
      <c r="G187" s="341"/>
      <c r="H187" s="342"/>
      <c r="I187" s="340"/>
      <c r="J187" s="343"/>
      <c r="K187" s="344"/>
    </row>
    <row r="188" spans="1:11">
      <c r="A188" s="339">
        <v>183</v>
      </c>
      <c r="B188" s="340"/>
      <c r="C188" s="340"/>
      <c r="D188" s="340"/>
      <c r="E188" s="340"/>
      <c r="F188" s="341"/>
      <c r="G188" s="341"/>
      <c r="H188" s="342"/>
      <c r="I188" s="340"/>
      <c r="J188" s="343"/>
      <c r="K188" s="344"/>
    </row>
    <row r="189" spans="1:11">
      <c r="A189" s="339">
        <v>184</v>
      </c>
      <c r="B189" s="340"/>
      <c r="C189" s="340"/>
      <c r="D189" s="340"/>
      <c r="E189" s="340"/>
      <c r="F189" s="341"/>
      <c r="G189" s="341"/>
      <c r="H189" s="342"/>
      <c r="I189" s="340"/>
      <c r="J189" s="343"/>
      <c r="K189" s="344"/>
    </row>
    <row r="190" spans="1:11">
      <c r="A190" s="339">
        <v>185</v>
      </c>
      <c r="B190" s="340"/>
      <c r="C190" s="340"/>
      <c r="D190" s="340"/>
      <c r="E190" s="340"/>
      <c r="F190" s="341"/>
      <c r="G190" s="341"/>
      <c r="H190" s="342"/>
      <c r="I190" s="340"/>
      <c r="J190" s="343"/>
      <c r="K190" s="344"/>
    </row>
    <row r="191" spans="1:11">
      <c r="A191" s="339">
        <v>186</v>
      </c>
      <c r="B191" s="340"/>
      <c r="C191" s="340"/>
      <c r="D191" s="340"/>
      <c r="E191" s="340"/>
      <c r="F191" s="341"/>
      <c r="G191" s="341"/>
      <c r="H191" s="342"/>
      <c r="I191" s="340"/>
      <c r="J191" s="343"/>
      <c r="K191" s="344"/>
    </row>
    <row r="192" spans="1:11">
      <c r="A192" s="339">
        <v>187</v>
      </c>
      <c r="B192" s="340"/>
      <c r="C192" s="340"/>
      <c r="D192" s="340"/>
      <c r="E192" s="340"/>
      <c r="F192" s="341"/>
      <c r="G192" s="341"/>
      <c r="H192" s="342"/>
      <c r="I192" s="340"/>
      <c r="J192" s="343"/>
      <c r="K192" s="344"/>
    </row>
    <row r="193" spans="1:11">
      <c r="A193" s="339">
        <v>188</v>
      </c>
      <c r="B193" s="340"/>
      <c r="C193" s="340"/>
      <c r="D193" s="340"/>
      <c r="E193" s="340"/>
      <c r="F193" s="341"/>
      <c r="G193" s="341"/>
      <c r="H193" s="342"/>
      <c r="I193" s="340"/>
      <c r="J193" s="343"/>
      <c r="K193" s="344"/>
    </row>
    <row r="194" spans="1:11">
      <c r="A194" s="339">
        <v>189</v>
      </c>
      <c r="B194" s="340"/>
      <c r="C194" s="340"/>
      <c r="D194" s="340"/>
      <c r="E194" s="340"/>
      <c r="F194" s="341"/>
      <c r="G194" s="341"/>
      <c r="H194" s="342"/>
      <c r="I194" s="340"/>
      <c r="J194" s="343"/>
      <c r="K194" s="344"/>
    </row>
    <row r="195" spans="1:11">
      <c r="A195" s="339">
        <v>190</v>
      </c>
      <c r="B195" s="340"/>
      <c r="C195" s="340"/>
      <c r="D195" s="340"/>
      <c r="E195" s="340"/>
      <c r="F195" s="341"/>
      <c r="G195" s="341"/>
      <c r="H195" s="342"/>
      <c r="I195" s="340"/>
      <c r="J195" s="343"/>
      <c r="K195" s="344"/>
    </row>
    <row r="196" spans="1:11">
      <c r="A196" s="339">
        <v>191</v>
      </c>
      <c r="B196" s="340"/>
      <c r="C196" s="340"/>
      <c r="D196" s="340"/>
      <c r="E196" s="340"/>
      <c r="F196" s="341"/>
      <c r="G196" s="341"/>
      <c r="H196" s="342"/>
      <c r="I196" s="340"/>
      <c r="J196" s="343"/>
      <c r="K196" s="344"/>
    </row>
    <row r="197" spans="1:11">
      <c r="A197" s="339">
        <v>192</v>
      </c>
      <c r="B197" s="340"/>
      <c r="C197" s="340"/>
      <c r="D197" s="340"/>
      <c r="E197" s="340"/>
      <c r="F197" s="341"/>
      <c r="G197" s="341"/>
      <c r="H197" s="342"/>
      <c r="I197" s="340"/>
      <c r="J197" s="343"/>
      <c r="K197" s="344"/>
    </row>
    <row r="198" spans="1:11">
      <c r="A198" s="339">
        <v>193</v>
      </c>
      <c r="B198" s="340"/>
      <c r="C198" s="340"/>
      <c r="D198" s="340"/>
      <c r="E198" s="340"/>
      <c r="F198" s="341"/>
      <c r="G198" s="341"/>
      <c r="H198" s="342"/>
      <c r="I198" s="340"/>
      <c r="J198" s="343"/>
      <c r="K198" s="344"/>
    </row>
    <row r="199" spans="1:11">
      <c r="A199" s="339">
        <v>194</v>
      </c>
      <c r="B199" s="340"/>
      <c r="C199" s="340"/>
      <c r="D199" s="340"/>
      <c r="E199" s="340"/>
      <c r="F199" s="341"/>
      <c r="G199" s="341"/>
      <c r="H199" s="342"/>
      <c r="I199" s="340"/>
      <c r="J199" s="343"/>
      <c r="K199" s="344"/>
    </row>
    <row r="200" spans="1:11">
      <c r="A200" s="339">
        <v>195</v>
      </c>
      <c r="B200" s="340"/>
      <c r="C200" s="340"/>
      <c r="D200" s="340"/>
      <c r="E200" s="340"/>
      <c r="F200" s="341"/>
      <c r="G200" s="341"/>
      <c r="H200" s="342"/>
      <c r="I200" s="340"/>
      <c r="J200" s="343"/>
      <c r="K200" s="344"/>
    </row>
    <row r="201" spans="1:11">
      <c r="A201" s="339">
        <v>196</v>
      </c>
      <c r="B201" s="340"/>
      <c r="C201" s="340"/>
      <c r="D201" s="340"/>
      <c r="E201" s="340"/>
      <c r="F201" s="341"/>
      <c r="G201" s="341"/>
      <c r="H201" s="342"/>
      <c r="I201" s="340"/>
      <c r="J201" s="343"/>
      <c r="K201" s="344"/>
    </row>
    <row r="202" spans="1:11">
      <c r="A202" s="339">
        <v>197</v>
      </c>
      <c r="B202" s="340"/>
      <c r="C202" s="340"/>
      <c r="D202" s="340"/>
      <c r="E202" s="340"/>
      <c r="F202" s="341"/>
      <c r="G202" s="341"/>
      <c r="H202" s="342"/>
      <c r="I202" s="340"/>
      <c r="J202" s="343"/>
      <c r="K202" s="344"/>
    </row>
    <row r="203" spans="1:11">
      <c r="A203" s="339">
        <v>198</v>
      </c>
      <c r="B203" s="340"/>
      <c r="C203" s="340"/>
      <c r="D203" s="340"/>
      <c r="E203" s="340"/>
      <c r="F203" s="341"/>
      <c r="G203" s="341"/>
      <c r="H203" s="342"/>
      <c r="I203" s="340"/>
      <c r="J203" s="343"/>
      <c r="K203" s="344"/>
    </row>
    <row r="204" spans="1:11">
      <c r="A204" s="339">
        <v>199</v>
      </c>
      <c r="B204" s="340"/>
      <c r="C204" s="340"/>
      <c r="D204" s="340"/>
      <c r="E204" s="340"/>
      <c r="F204" s="341"/>
      <c r="G204" s="341"/>
      <c r="H204" s="342"/>
      <c r="I204" s="340"/>
      <c r="J204" s="343"/>
      <c r="K204" s="344"/>
    </row>
    <row r="205" spans="1:11">
      <c r="A205" s="339">
        <v>200</v>
      </c>
      <c r="B205" s="340"/>
      <c r="C205" s="340"/>
      <c r="D205" s="340"/>
      <c r="E205" s="340"/>
      <c r="F205" s="341"/>
      <c r="G205" s="341"/>
      <c r="H205" s="342"/>
      <c r="I205" s="340"/>
      <c r="J205" s="343"/>
      <c r="K205" s="344"/>
    </row>
    <row r="206" spans="1:11">
      <c r="A206" s="339">
        <v>201</v>
      </c>
      <c r="B206" s="340"/>
      <c r="C206" s="340"/>
      <c r="D206" s="340"/>
      <c r="E206" s="340"/>
      <c r="F206" s="341"/>
      <c r="G206" s="341"/>
      <c r="H206" s="342"/>
      <c r="I206" s="340"/>
      <c r="J206" s="343"/>
      <c r="K206" s="344"/>
    </row>
    <row r="207" spans="1:11">
      <c r="A207" s="339">
        <v>202</v>
      </c>
      <c r="B207" s="340"/>
      <c r="C207" s="340"/>
      <c r="D207" s="340"/>
      <c r="E207" s="340"/>
      <c r="F207" s="341"/>
      <c r="G207" s="341"/>
      <c r="H207" s="342"/>
      <c r="I207" s="340"/>
      <c r="J207" s="343"/>
      <c r="K207" s="344"/>
    </row>
    <row r="208" spans="1:11">
      <c r="A208" s="339">
        <v>203</v>
      </c>
      <c r="B208" s="340"/>
      <c r="C208" s="340"/>
      <c r="D208" s="340"/>
      <c r="E208" s="340"/>
      <c r="F208" s="341"/>
      <c r="G208" s="341"/>
      <c r="H208" s="342"/>
      <c r="I208" s="340"/>
      <c r="J208" s="343"/>
      <c r="K208" s="344"/>
    </row>
    <row r="209" spans="1:11">
      <c r="A209" s="339">
        <v>204</v>
      </c>
      <c r="B209" s="340"/>
      <c r="C209" s="340"/>
      <c r="D209" s="340"/>
      <c r="E209" s="340"/>
      <c r="F209" s="341"/>
      <c r="G209" s="341"/>
      <c r="H209" s="342"/>
      <c r="I209" s="340"/>
      <c r="J209" s="343"/>
      <c r="K209" s="344"/>
    </row>
    <row r="210" spans="1:11">
      <c r="A210" s="339">
        <v>205</v>
      </c>
      <c r="B210" s="340"/>
      <c r="C210" s="340"/>
      <c r="D210" s="340"/>
      <c r="E210" s="340"/>
      <c r="F210" s="341"/>
      <c r="G210" s="341"/>
      <c r="H210" s="342"/>
      <c r="I210" s="340"/>
      <c r="J210" s="343"/>
      <c r="K210" s="344"/>
    </row>
    <row r="211" spans="1:11">
      <c r="A211" s="339">
        <v>206</v>
      </c>
      <c r="B211" s="340"/>
      <c r="C211" s="340"/>
      <c r="D211" s="340"/>
      <c r="E211" s="340"/>
      <c r="F211" s="341"/>
      <c r="G211" s="341"/>
      <c r="H211" s="342"/>
      <c r="I211" s="340"/>
      <c r="J211" s="343"/>
      <c r="K211" s="344"/>
    </row>
    <row r="212" spans="1:11">
      <c r="A212" s="339">
        <v>207</v>
      </c>
      <c r="B212" s="340"/>
      <c r="C212" s="340"/>
      <c r="D212" s="340"/>
      <c r="E212" s="340"/>
      <c r="F212" s="341"/>
      <c r="G212" s="341"/>
      <c r="H212" s="342"/>
      <c r="I212" s="340"/>
      <c r="J212" s="343"/>
      <c r="K212" s="344"/>
    </row>
    <row r="213" spans="1:11">
      <c r="A213" s="339">
        <v>208</v>
      </c>
      <c r="B213" s="340"/>
      <c r="C213" s="340"/>
      <c r="D213" s="340"/>
      <c r="E213" s="340"/>
      <c r="F213" s="341"/>
      <c r="G213" s="341"/>
      <c r="H213" s="342"/>
      <c r="I213" s="340"/>
      <c r="J213" s="343"/>
      <c r="K213" s="344"/>
    </row>
    <row r="214" spans="1:11">
      <c r="A214" s="339">
        <v>209</v>
      </c>
      <c r="B214" s="340"/>
      <c r="C214" s="340"/>
      <c r="D214" s="340"/>
      <c r="E214" s="340"/>
      <c r="F214" s="341"/>
      <c r="G214" s="341"/>
      <c r="H214" s="342"/>
      <c r="I214" s="340"/>
      <c r="J214" s="343"/>
      <c r="K214" s="344"/>
    </row>
    <row r="215" spans="1:11">
      <c r="A215" s="339">
        <v>210</v>
      </c>
      <c r="B215" s="340"/>
      <c r="C215" s="340"/>
      <c r="D215" s="340"/>
      <c r="E215" s="340"/>
      <c r="F215" s="341"/>
      <c r="G215" s="341"/>
      <c r="H215" s="342"/>
      <c r="I215" s="340"/>
      <c r="J215" s="343"/>
      <c r="K215" s="344"/>
    </row>
    <row r="216" spans="1:11">
      <c r="A216" s="339">
        <v>211</v>
      </c>
      <c r="B216" s="340"/>
      <c r="C216" s="340"/>
      <c r="D216" s="340"/>
      <c r="E216" s="340"/>
      <c r="F216" s="341"/>
      <c r="G216" s="341"/>
      <c r="H216" s="342"/>
      <c r="I216" s="340"/>
      <c r="J216" s="343"/>
      <c r="K216" s="344"/>
    </row>
    <row r="217" spans="1:11">
      <c r="A217" s="339">
        <v>212</v>
      </c>
      <c r="B217" s="340"/>
      <c r="C217" s="340"/>
      <c r="D217" s="340"/>
      <c r="E217" s="340"/>
      <c r="F217" s="341"/>
      <c r="G217" s="341"/>
      <c r="H217" s="342"/>
      <c r="I217" s="340"/>
      <c r="J217" s="343"/>
      <c r="K217" s="344"/>
    </row>
    <row r="218" spans="1:11">
      <c r="A218" s="339">
        <v>213</v>
      </c>
      <c r="B218" s="340"/>
      <c r="C218" s="340"/>
      <c r="D218" s="340"/>
      <c r="E218" s="340"/>
      <c r="F218" s="341"/>
      <c r="G218" s="341"/>
      <c r="H218" s="342"/>
      <c r="I218" s="340"/>
      <c r="J218" s="343"/>
      <c r="K218" s="344"/>
    </row>
    <row r="219" spans="1:11">
      <c r="A219" s="339">
        <v>214</v>
      </c>
      <c r="B219" s="340"/>
      <c r="C219" s="340"/>
      <c r="D219" s="340"/>
      <c r="E219" s="340"/>
      <c r="F219" s="341"/>
      <c r="G219" s="341"/>
      <c r="H219" s="342"/>
      <c r="I219" s="340"/>
      <c r="J219" s="343"/>
      <c r="K219" s="344"/>
    </row>
    <row r="220" spans="1:11">
      <c r="A220" s="339">
        <v>215</v>
      </c>
      <c r="B220" s="340"/>
      <c r="C220" s="340"/>
      <c r="D220" s="340"/>
      <c r="E220" s="340"/>
      <c r="F220" s="341"/>
      <c r="G220" s="341"/>
      <c r="H220" s="342"/>
      <c r="I220" s="340"/>
      <c r="J220" s="343"/>
      <c r="K220" s="344"/>
    </row>
    <row r="221" spans="1:11">
      <c r="A221" s="339">
        <v>216</v>
      </c>
      <c r="B221" s="340"/>
      <c r="C221" s="340"/>
      <c r="D221" s="340"/>
      <c r="E221" s="340"/>
      <c r="F221" s="341"/>
      <c r="G221" s="341"/>
      <c r="H221" s="342"/>
      <c r="I221" s="340"/>
      <c r="J221" s="343"/>
      <c r="K221" s="344"/>
    </row>
    <row r="222" spans="1:11">
      <c r="A222" s="339">
        <v>217</v>
      </c>
      <c r="B222" s="340"/>
      <c r="C222" s="340"/>
      <c r="D222" s="340"/>
      <c r="E222" s="340"/>
      <c r="F222" s="341"/>
      <c r="G222" s="341"/>
      <c r="H222" s="342"/>
      <c r="I222" s="340"/>
      <c r="J222" s="343"/>
      <c r="K222" s="344"/>
    </row>
    <row r="223" spans="1:11">
      <c r="A223" s="339">
        <v>218</v>
      </c>
      <c r="B223" s="340"/>
      <c r="C223" s="340"/>
      <c r="D223" s="340"/>
      <c r="E223" s="340"/>
      <c r="F223" s="341"/>
      <c r="G223" s="341"/>
      <c r="H223" s="342"/>
      <c r="I223" s="340"/>
      <c r="J223" s="343"/>
      <c r="K223" s="344"/>
    </row>
    <row r="224" spans="1:11">
      <c r="A224" s="339">
        <v>219</v>
      </c>
      <c r="B224" s="340"/>
      <c r="C224" s="340"/>
      <c r="D224" s="340"/>
      <c r="E224" s="340"/>
      <c r="F224" s="341"/>
      <c r="G224" s="341"/>
      <c r="H224" s="342"/>
      <c r="I224" s="340"/>
      <c r="J224" s="343"/>
      <c r="K224" s="344"/>
    </row>
    <row r="225" spans="1:11">
      <c r="A225" s="339">
        <v>220</v>
      </c>
      <c r="B225" s="340"/>
      <c r="C225" s="340"/>
      <c r="D225" s="340"/>
      <c r="E225" s="340"/>
      <c r="F225" s="341"/>
      <c r="G225" s="341"/>
      <c r="H225" s="342"/>
      <c r="I225" s="340"/>
      <c r="J225" s="343"/>
      <c r="K225" s="344"/>
    </row>
    <row r="226" spans="1:11">
      <c r="A226" s="339">
        <v>221</v>
      </c>
      <c r="B226" s="340"/>
      <c r="C226" s="340"/>
      <c r="D226" s="340"/>
      <c r="E226" s="340"/>
      <c r="F226" s="341"/>
      <c r="G226" s="341"/>
      <c r="H226" s="342"/>
      <c r="I226" s="340"/>
      <c r="J226" s="343"/>
      <c r="K226" s="344"/>
    </row>
    <row r="227" spans="1:11">
      <c r="A227" s="339">
        <v>222</v>
      </c>
      <c r="B227" s="340"/>
      <c r="C227" s="340"/>
      <c r="D227" s="340"/>
      <c r="E227" s="340"/>
      <c r="F227" s="341"/>
      <c r="G227" s="341"/>
      <c r="H227" s="342"/>
      <c r="I227" s="340"/>
      <c r="J227" s="343"/>
      <c r="K227" s="344"/>
    </row>
    <row r="228" spans="1:11">
      <c r="A228" s="339">
        <v>223</v>
      </c>
      <c r="B228" s="340"/>
      <c r="C228" s="340"/>
      <c r="D228" s="340"/>
      <c r="E228" s="340"/>
      <c r="F228" s="341"/>
      <c r="G228" s="341"/>
      <c r="H228" s="342"/>
      <c r="I228" s="340"/>
      <c r="J228" s="343"/>
      <c r="K228" s="344"/>
    </row>
    <row r="229" spans="1:11">
      <c r="A229" s="339">
        <v>224</v>
      </c>
      <c r="B229" s="340"/>
      <c r="C229" s="340"/>
      <c r="D229" s="340"/>
      <c r="E229" s="340"/>
      <c r="F229" s="341"/>
      <c r="G229" s="341"/>
      <c r="H229" s="342"/>
      <c r="I229" s="340"/>
      <c r="J229" s="343"/>
      <c r="K229" s="344"/>
    </row>
    <row r="230" spans="1:11">
      <c r="A230" s="339">
        <v>225</v>
      </c>
      <c r="B230" s="340"/>
      <c r="C230" s="340"/>
      <c r="D230" s="340"/>
      <c r="E230" s="340"/>
      <c r="F230" s="341"/>
      <c r="G230" s="341"/>
      <c r="H230" s="342"/>
      <c r="I230" s="340"/>
      <c r="J230" s="343"/>
      <c r="K230" s="344"/>
    </row>
    <row r="231" spans="1:11">
      <c r="A231" s="339">
        <v>226</v>
      </c>
      <c r="B231" s="340"/>
      <c r="C231" s="340"/>
      <c r="D231" s="340"/>
      <c r="E231" s="340"/>
      <c r="F231" s="341"/>
      <c r="G231" s="341"/>
      <c r="H231" s="342"/>
      <c r="I231" s="340"/>
      <c r="J231" s="343"/>
      <c r="K231" s="344"/>
    </row>
    <row r="232" spans="1:11">
      <c r="A232" s="339">
        <v>227</v>
      </c>
      <c r="B232" s="340"/>
      <c r="C232" s="340"/>
      <c r="D232" s="340"/>
      <c r="E232" s="340"/>
      <c r="F232" s="341"/>
      <c r="G232" s="341"/>
      <c r="H232" s="342"/>
      <c r="I232" s="340"/>
      <c r="J232" s="343"/>
      <c r="K232" s="344"/>
    </row>
    <row r="233" spans="1:11">
      <c r="A233" s="339">
        <v>228</v>
      </c>
      <c r="B233" s="340"/>
      <c r="C233" s="340"/>
      <c r="D233" s="340"/>
      <c r="E233" s="340"/>
      <c r="F233" s="341"/>
      <c r="G233" s="341"/>
      <c r="H233" s="342"/>
      <c r="I233" s="340"/>
      <c r="J233" s="343"/>
      <c r="K233" s="344"/>
    </row>
    <row r="234" spans="1:11">
      <c r="A234" s="339">
        <v>229</v>
      </c>
      <c r="B234" s="340"/>
      <c r="C234" s="340"/>
      <c r="D234" s="340"/>
      <c r="E234" s="340"/>
      <c r="F234" s="341"/>
      <c r="G234" s="341"/>
      <c r="H234" s="342"/>
      <c r="I234" s="340"/>
      <c r="J234" s="343"/>
      <c r="K234" s="344"/>
    </row>
    <row r="235" spans="1:11">
      <c r="A235" s="339">
        <v>230</v>
      </c>
      <c r="B235" s="340"/>
      <c r="C235" s="340"/>
      <c r="D235" s="340"/>
      <c r="E235" s="340"/>
      <c r="F235" s="341"/>
      <c r="G235" s="341"/>
      <c r="H235" s="342"/>
      <c r="I235" s="340"/>
      <c r="J235" s="343"/>
      <c r="K235" s="344"/>
    </row>
    <row r="236" spans="1:11">
      <c r="A236" s="339">
        <v>231</v>
      </c>
      <c r="B236" s="340"/>
      <c r="C236" s="340"/>
      <c r="D236" s="340"/>
      <c r="E236" s="340"/>
      <c r="F236" s="341"/>
      <c r="G236" s="341"/>
      <c r="H236" s="342"/>
      <c r="I236" s="340"/>
      <c r="J236" s="343"/>
      <c r="K236" s="344"/>
    </row>
    <row r="237" spans="1:11">
      <c r="A237" s="339">
        <v>232</v>
      </c>
      <c r="B237" s="340"/>
      <c r="C237" s="340"/>
      <c r="D237" s="340"/>
      <c r="E237" s="340"/>
      <c r="F237" s="341"/>
      <c r="G237" s="341"/>
      <c r="H237" s="342"/>
      <c r="I237" s="340"/>
      <c r="J237" s="343"/>
      <c r="K237" s="344"/>
    </row>
    <row r="238" spans="1:11">
      <c r="A238" s="339">
        <v>233</v>
      </c>
      <c r="B238" s="340"/>
      <c r="C238" s="340"/>
      <c r="D238" s="340"/>
      <c r="E238" s="340"/>
      <c r="F238" s="341"/>
      <c r="G238" s="341"/>
      <c r="H238" s="342"/>
      <c r="I238" s="340"/>
      <c r="J238" s="343"/>
      <c r="K238" s="344"/>
    </row>
    <row r="239" spans="1:11">
      <c r="A239" s="339">
        <v>234</v>
      </c>
      <c r="B239" s="340"/>
      <c r="C239" s="340"/>
      <c r="D239" s="340"/>
      <c r="E239" s="340"/>
      <c r="F239" s="341"/>
      <c r="G239" s="341"/>
      <c r="H239" s="342"/>
      <c r="I239" s="340"/>
      <c r="J239" s="343"/>
      <c r="K239" s="344"/>
    </row>
    <row r="240" spans="1:11">
      <c r="A240" s="339">
        <v>235</v>
      </c>
      <c r="B240" s="340"/>
      <c r="C240" s="340"/>
      <c r="D240" s="340"/>
      <c r="E240" s="340"/>
      <c r="F240" s="341"/>
      <c r="G240" s="341"/>
      <c r="H240" s="342"/>
      <c r="I240" s="340"/>
      <c r="J240" s="343"/>
      <c r="K240" s="344"/>
    </row>
    <row r="241" spans="1:11">
      <c r="A241" s="339">
        <v>236</v>
      </c>
      <c r="B241" s="340"/>
      <c r="C241" s="340"/>
      <c r="D241" s="340"/>
      <c r="E241" s="340"/>
      <c r="F241" s="341"/>
      <c r="G241" s="341"/>
      <c r="H241" s="342"/>
      <c r="I241" s="340"/>
      <c r="J241" s="343"/>
      <c r="K241" s="344"/>
    </row>
    <row r="242" spans="1:11">
      <c r="A242" s="339">
        <v>237</v>
      </c>
      <c r="B242" s="340"/>
      <c r="C242" s="340"/>
      <c r="D242" s="340"/>
      <c r="E242" s="340"/>
      <c r="F242" s="341"/>
      <c r="G242" s="341"/>
      <c r="H242" s="342"/>
      <c r="I242" s="340"/>
      <c r="J242" s="343"/>
      <c r="K242" s="344"/>
    </row>
    <row r="243" spans="1:11">
      <c r="A243" s="339">
        <v>238</v>
      </c>
      <c r="B243" s="340"/>
      <c r="C243" s="340"/>
      <c r="D243" s="340"/>
      <c r="E243" s="340"/>
      <c r="F243" s="341"/>
      <c r="G243" s="341"/>
      <c r="H243" s="342"/>
      <c r="I243" s="340"/>
      <c r="J243" s="343"/>
      <c r="K243" s="344"/>
    </row>
    <row r="244" spans="1:11">
      <c r="A244" s="339">
        <v>239</v>
      </c>
      <c r="B244" s="340"/>
      <c r="C244" s="340"/>
      <c r="D244" s="340"/>
      <c r="E244" s="340"/>
      <c r="F244" s="341"/>
      <c r="G244" s="341"/>
      <c r="H244" s="342"/>
      <c r="I244" s="340"/>
      <c r="J244" s="343"/>
      <c r="K244" s="344"/>
    </row>
    <row r="245" spans="1:11">
      <c r="A245" s="339">
        <v>240</v>
      </c>
      <c r="B245" s="340"/>
      <c r="C245" s="340"/>
      <c r="D245" s="340"/>
      <c r="E245" s="340"/>
      <c r="F245" s="341"/>
      <c r="G245" s="341"/>
      <c r="H245" s="342"/>
      <c r="I245" s="340"/>
      <c r="J245" s="343"/>
      <c r="K245" s="344"/>
    </row>
    <row r="246" spans="1:11">
      <c r="A246" s="339">
        <v>241</v>
      </c>
      <c r="B246" s="340"/>
      <c r="C246" s="340"/>
      <c r="D246" s="340"/>
      <c r="E246" s="340"/>
      <c r="F246" s="341"/>
      <c r="G246" s="341"/>
      <c r="H246" s="342"/>
      <c r="I246" s="340"/>
      <c r="J246" s="343"/>
      <c r="K246" s="344"/>
    </row>
    <row r="247" spans="1:11">
      <c r="A247" s="339">
        <v>242</v>
      </c>
      <c r="B247" s="340"/>
      <c r="C247" s="340"/>
      <c r="D247" s="340"/>
      <c r="E247" s="340"/>
      <c r="F247" s="341"/>
      <c r="G247" s="341"/>
      <c r="H247" s="342"/>
      <c r="I247" s="340"/>
      <c r="J247" s="343"/>
      <c r="K247" s="344"/>
    </row>
    <row r="248" spans="1:11">
      <c r="A248" s="339">
        <v>243</v>
      </c>
      <c r="B248" s="340"/>
      <c r="C248" s="340"/>
      <c r="D248" s="340"/>
      <c r="E248" s="340"/>
      <c r="F248" s="341"/>
      <c r="G248" s="341"/>
      <c r="H248" s="342"/>
      <c r="I248" s="340"/>
      <c r="J248" s="343"/>
      <c r="K248" s="344"/>
    </row>
    <row r="249" spans="1:11">
      <c r="A249" s="339">
        <v>244</v>
      </c>
      <c r="B249" s="340"/>
      <c r="C249" s="340"/>
      <c r="D249" s="340"/>
      <c r="E249" s="340"/>
      <c r="F249" s="341"/>
      <c r="G249" s="341"/>
      <c r="H249" s="342"/>
      <c r="I249" s="340"/>
      <c r="J249" s="343"/>
      <c r="K249" s="344"/>
    </row>
    <row r="250" spans="1:11">
      <c r="A250" s="339">
        <v>245</v>
      </c>
      <c r="B250" s="340"/>
      <c r="C250" s="340"/>
      <c r="D250" s="340"/>
      <c r="E250" s="340"/>
      <c r="F250" s="341"/>
      <c r="G250" s="341"/>
      <c r="H250" s="342"/>
      <c r="I250" s="340"/>
      <c r="J250" s="343"/>
      <c r="K250" s="344"/>
    </row>
    <row r="251" spans="1:11">
      <c r="A251" s="339">
        <v>246</v>
      </c>
      <c r="B251" s="340"/>
      <c r="C251" s="340"/>
      <c r="D251" s="340"/>
      <c r="E251" s="340"/>
      <c r="F251" s="341"/>
      <c r="G251" s="341"/>
      <c r="H251" s="342"/>
      <c r="I251" s="340"/>
      <c r="J251" s="343"/>
      <c r="K251" s="344"/>
    </row>
    <row r="252" spans="1:11">
      <c r="A252" s="339">
        <v>247</v>
      </c>
      <c r="B252" s="340"/>
      <c r="C252" s="340"/>
      <c r="D252" s="340"/>
      <c r="E252" s="340"/>
      <c r="F252" s="341"/>
      <c r="G252" s="341"/>
      <c r="H252" s="342"/>
      <c r="I252" s="340"/>
      <c r="J252" s="343"/>
      <c r="K252" s="344"/>
    </row>
    <row r="253" spans="1:11">
      <c r="A253" s="339">
        <v>248</v>
      </c>
      <c r="B253" s="340"/>
      <c r="C253" s="340"/>
      <c r="D253" s="340"/>
      <c r="E253" s="340"/>
      <c r="F253" s="341"/>
      <c r="G253" s="341"/>
      <c r="H253" s="342"/>
      <c r="I253" s="340"/>
      <c r="J253" s="343"/>
      <c r="K253" s="344"/>
    </row>
    <row r="254" spans="1:11">
      <c r="A254" s="339">
        <v>249</v>
      </c>
      <c r="B254" s="340"/>
      <c r="C254" s="340"/>
      <c r="D254" s="340"/>
      <c r="E254" s="340"/>
      <c r="F254" s="341"/>
      <c r="G254" s="341"/>
      <c r="H254" s="342"/>
      <c r="I254" s="340"/>
      <c r="J254" s="343"/>
      <c r="K254" s="344"/>
    </row>
    <row r="255" spans="1:11">
      <c r="A255" s="339">
        <v>250</v>
      </c>
      <c r="B255" s="340"/>
      <c r="C255" s="340"/>
      <c r="D255" s="340"/>
      <c r="E255" s="340"/>
      <c r="F255" s="341"/>
      <c r="G255" s="341"/>
      <c r="H255" s="342"/>
      <c r="I255" s="340"/>
      <c r="J255" s="343"/>
      <c r="K255" s="344"/>
    </row>
    <row r="256" spans="1:11">
      <c r="A256" s="339">
        <v>251</v>
      </c>
      <c r="B256" s="340"/>
      <c r="C256" s="340"/>
      <c r="D256" s="340"/>
      <c r="E256" s="340"/>
      <c r="F256" s="341"/>
      <c r="G256" s="341"/>
      <c r="H256" s="342"/>
      <c r="I256" s="340"/>
      <c r="J256" s="343"/>
      <c r="K256" s="344"/>
    </row>
    <row r="257" spans="1:11">
      <c r="A257" s="339">
        <v>252</v>
      </c>
      <c r="B257" s="340"/>
      <c r="C257" s="340"/>
      <c r="D257" s="340"/>
      <c r="E257" s="340"/>
      <c r="F257" s="341"/>
      <c r="G257" s="341"/>
      <c r="H257" s="342"/>
      <c r="I257" s="340"/>
      <c r="J257" s="343"/>
      <c r="K257" s="344"/>
    </row>
    <row r="258" spans="1:11">
      <c r="A258" s="339">
        <v>253</v>
      </c>
      <c r="B258" s="340"/>
      <c r="C258" s="340"/>
      <c r="D258" s="340"/>
      <c r="E258" s="340"/>
      <c r="F258" s="341"/>
      <c r="G258" s="341"/>
      <c r="H258" s="342"/>
      <c r="I258" s="340"/>
      <c r="J258" s="343"/>
      <c r="K258" s="344"/>
    </row>
    <row r="259" spans="1:11">
      <c r="A259" s="339">
        <v>254</v>
      </c>
      <c r="B259" s="340"/>
      <c r="C259" s="340"/>
      <c r="D259" s="340"/>
      <c r="E259" s="340"/>
      <c r="F259" s="341"/>
      <c r="G259" s="341"/>
      <c r="H259" s="342"/>
      <c r="I259" s="340"/>
      <c r="J259" s="343"/>
      <c r="K259" s="344"/>
    </row>
    <row r="260" spans="1:11">
      <c r="A260" s="339">
        <v>255</v>
      </c>
      <c r="B260" s="340"/>
      <c r="C260" s="340"/>
      <c r="D260" s="340"/>
      <c r="E260" s="340"/>
      <c r="F260" s="341"/>
      <c r="G260" s="341"/>
      <c r="H260" s="342"/>
      <c r="I260" s="340"/>
      <c r="J260" s="343"/>
      <c r="K260" s="344"/>
    </row>
    <row r="261" spans="1:11">
      <c r="A261" s="339">
        <v>256</v>
      </c>
      <c r="B261" s="340"/>
      <c r="C261" s="340"/>
      <c r="D261" s="340"/>
      <c r="E261" s="340"/>
      <c r="F261" s="341"/>
      <c r="G261" s="341"/>
      <c r="H261" s="342"/>
      <c r="I261" s="340"/>
      <c r="J261" s="343"/>
      <c r="K261" s="344"/>
    </row>
    <row r="262" spans="1:11">
      <c r="A262" s="339">
        <v>257</v>
      </c>
      <c r="B262" s="340"/>
      <c r="C262" s="340"/>
      <c r="D262" s="340"/>
      <c r="E262" s="340"/>
      <c r="F262" s="341"/>
      <c r="G262" s="341"/>
      <c r="H262" s="342"/>
      <c r="I262" s="340"/>
      <c r="J262" s="343"/>
      <c r="K262" s="344"/>
    </row>
    <row r="263" spans="1:11">
      <c r="A263" s="339">
        <v>258</v>
      </c>
      <c r="B263" s="340"/>
      <c r="C263" s="340"/>
      <c r="D263" s="340"/>
      <c r="E263" s="340"/>
      <c r="F263" s="341"/>
      <c r="G263" s="341"/>
      <c r="H263" s="342"/>
      <c r="I263" s="340"/>
      <c r="J263" s="343"/>
      <c r="K263" s="344"/>
    </row>
    <row r="264" spans="1:11">
      <c r="A264" s="339">
        <v>259</v>
      </c>
      <c r="B264" s="340"/>
      <c r="C264" s="340"/>
      <c r="D264" s="340"/>
      <c r="E264" s="340"/>
      <c r="F264" s="341"/>
      <c r="G264" s="341"/>
      <c r="H264" s="342"/>
      <c r="I264" s="340"/>
      <c r="J264" s="343"/>
      <c r="K264" s="344"/>
    </row>
    <row r="265" spans="1:11">
      <c r="A265" s="339">
        <v>260</v>
      </c>
      <c r="B265" s="340"/>
      <c r="C265" s="340"/>
      <c r="D265" s="340"/>
      <c r="E265" s="340"/>
      <c r="F265" s="341"/>
      <c r="G265" s="341"/>
      <c r="H265" s="342"/>
      <c r="I265" s="340"/>
      <c r="J265" s="343"/>
      <c r="K265" s="344"/>
    </row>
    <row r="266" spans="1:11">
      <c r="A266" s="339">
        <v>261</v>
      </c>
      <c r="B266" s="340"/>
      <c r="C266" s="340"/>
      <c r="D266" s="340"/>
      <c r="E266" s="340"/>
      <c r="F266" s="341"/>
      <c r="G266" s="341"/>
      <c r="H266" s="342"/>
      <c r="I266" s="340"/>
      <c r="J266" s="343"/>
      <c r="K266" s="344"/>
    </row>
    <row r="267" spans="1:11">
      <c r="A267" s="339">
        <v>262</v>
      </c>
      <c r="B267" s="340"/>
      <c r="C267" s="340"/>
      <c r="D267" s="340"/>
      <c r="E267" s="340"/>
      <c r="F267" s="341"/>
      <c r="G267" s="341"/>
      <c r="H267" s="342"/>
      <c r="I267" s="340"/>
      <c r="J267" s="343"/>
      <c r="K267" s="344"/>
    </row>
    <row r="268" spans="1:11">
      <c r="A268" s="339">
        <v>263</v>
      </c>
      <c r="B268" s="340"/>
      <c r="C268" s="340"/>
      <c r="D268" s="340"/>
      <c r="E268" s="340"/>
      <c r="F268" s="341"/>
      <c r="G268" s="341"/>
      <c r="H268" s="342"/>
      <c r="I268" s="340"/>
      <c r="J268" s="343"/>
      <c r="K268" s="344"/>
    </row>
    <row r="269" spans="1:11">
      <c r="A269" s="339">
        <v>264</v>
      </c>
      <c r="B269" s="340"/>
      <c r="C269" s="340"/>
      <c r="D269" s="340"/>
      <c r="E269" s="340"/>
      <c r="F269" s="341"/>
      <c r="G269" s="341"/>
      <c r="H269" s="342"/>
      <c r="I269" s="340"/>
      <c r="J269" s="343"/>
      <c r="K269" s="344"/>
    </row>
    <row r="270" spans="1:11">
      <c r="A270" s="339">
        <v>265</v>
      </c>
      <c r="B270" s="340"/>
      <c r="C270" s="340"/>
      <c r="D270" s="340"/>
      <c r="E270" s="340"/>
      <c r="F270" s="341"/>
      <c r="G270" s="341"/>
      <c r="H270" s="342"/>
      <c r="I270" s="340"/>
      <c r="J270" s="343"/>
      <c r="K270" s="344"/>
    </row>
    <row r="271" spans="1:11">
      <c r="A271" s="339">
        <v>266</v>
      </c>
      <c r="B271" s="340"/>
      <c r="C271" s="340"/>
      <c r="D271" s="340"/>
      <c r="E271" s="340"/>
      <c r="F271" s="341"/>
      <c r="G271" s="341"/>
      <c r="H271" s="342"/>
      <c r="I271" s="340"/>
      <c r="J271" s="343"/>
      <c r="K271" s="344"/>
    </row>
    <row r="272" spans="1:11">
      <c r="A272" s="339">
        <v>267</v>
      </c>
      <c r="B272" s="340"/>
      <c r="C272" s="340"/>
      <c r="D272" s="340"/>
      <c r="E272" s="340"/>
      <c r="F272" s="341"/>
      <c r="G272" s="341"/>
      <c r="H272" s="342"/>
      <c r="I272" s="340"/>
      <c r="J272" s="343"/>
      <c r="K272" s="344"/>
    </row>
    <row r="273" spans="1:11">
      <c r="A273" s="339">
        <v>268</v>
      </c>
      <c r="B273" s="340"/>
      <c r="C273" s="340"/>
      <c r="D273" s="340"/>
      <c r="E273" s="340"/>
      <c r="F273" s="341"/>
      <c r="G273" s="341"/>
      <c r="H273" s="342"/>
      <c r="I273" s="340"/>
      <c r="J273" s="343"/>
      <c r="K273" s="344"/>
    </row>
    <row r="274" spans="1:11">
      <c r="A274" s="339">
        <v>269</v>
      </c>
      <c r="B274" s="340"/>
      <c r="C274" s="340"/>
      <c r="D274" s="340"/>
      <c r="E274" s="340"/>
      <c r="F274" s="341"/>
      <c r="G274" s="341"/>
      <c r="H274" s="342"/>
      <c r="I274" s="340"/>
      <c r="J274" s="343"/>
      <c r="K274" s="344"/>
    </row>
    <row r="275" spans="1:11">
      <c r="A275" s="339">
        <v>270</v>
      </c>
      <c r="B275" s="340"/>
      <c r="C275" s="340"/>
      <c r="D275" s="340"/>
      <c r="E275" s="340"/>
      <c r="F275" s="341"/>
      <c r="G275" s="341"/>
      <c r="H275" s="342"/>
      <c r="I275" s="340"/>
      <c r="J275" s="343"/>
      <c r="K275" s="344"/>
    </row>
    <row r="276" spans="1:11">
      <c r="A276" s="339">
        <v>271</v>
      </c>
      <c r="B276" s="340"/>
      <c r="C276" s="340"/>
      <c r="D276" s="340"/>
      <c r="E276" s="340"/>
      <c r="F276" s="341"/>
      <c r="G276" s="341"/>
      <c r="H276" s="342"/>
      <c r="I276" s="340"/>
      <c r="J276" s="343"/>
      <c r="K276" s="344"/>
    </row>
    <row r="277" spans="1:11">
      <c r="A277" s="339">
        <v>272</v>
      </c>
      <c r="B277" s="340"/>
      <c r="C277" s="340"/>
      <c r="D277" s="340"/>
      <c r="E277" s="340"/>
      <c r="F277" s="341"/>
      <c r="G277" s="341"/>
      <c r="H277" s="342"/>
      <c r="I277" s="340"/>
      <c r="J277" s="343"/>
      <c r="K277" s="344"/>
    </row>
    <row r="278" spans="1:11">
      <c r="A278" s="339">
        <v>273</v>
      </c>
      <c r="B278" s="340"/>
      <c r="C278" s="340"/>
      <c r="D278" s="340"/>
      <c r="E278" s="340"/>
      <c r="F278" s="341"/>
      <c r="G278" s="341"/>
      <c r="H278" s="342"/>
      <c r="I278" s="340"/>
      <c r="J278" s="343"/>
      <c r="K278" s="344"/>
    </row>
    <row r="279" spans="1:11">
      <c r="A279" s="339">
        <v>274</v>
      </c>
      <c r="B279" s="340"/>
      <c r="C279" s="340"/>
      <c r="D279" s="340"/>
      <c r="E279" s="340"/>
      <c r="F279" s="341"/>
      <c r="G279" s="341"/>
      <c r="H279" s="342"/>
      <c r="I279" s="340"/>
      <c r="J279" s="343"/>
      <c r="K279" s="344"/>
    </row>
    <row r="280" spans="1:11">
      <c r="A280" s="339">
        <v>275</v>
      </c>
      <c r="B280" s="340"/>
      <c r="C280" s="340"/>
      <c r="D280" s="340"/>
      <c r="E280" s="340"/>
      <c r="F280" s="341"/>
      <c r="G280" s="341"/>
      <c r="H280" s="342"/>
      <c r="I280" s="340"/>
      <c r="J280" s="343"/>
      <c r="K280" s="344"/>
    </row>
    <row r="281" spans="1:11">
      <c r="A281" s="339">
        <v>276</v>
      </c>
      <c r="B281" s="340"/>
      <c r="C281" s="340"/>
      <c r="D281" s="340"/>
      <c r="E281" s="340"/>
      <c r="F281" s="341"/>
      <c r="G281" s="341"/>
      <c r="H281" s="342"/>
      <c r="I281" s="340"/>
      <c r="J281" s="343"/>
      <c r="K281" s="344"/>
    </row>
    <row r="282" spans="1:11">
      <c r="A282" s="339">
        <v>277</v>
      </c>
      <c r="B282" s="340"/>
      <c r="C282" s="340"/>
      <c r="D282" s="340"/>
      <c r="E282" s="340"/>
      <c r="F282" s="341"/>
      <c r="G282" s="341"/>
      <c r="H282" s="342"/>
      <c r="I282" s="340"/>
      <c r="J282" s="343"/>
      <c r="K282" s="344"/>
    </row>
    <row r="283" spans="1:11">
      <c r="A283" s="339">
        <v>278</v>
      </c>
      <c r="B283" s="340"/>
      <c r="C283" s="340"/>
      <c r="D283" s="340"/>
      <c r="E283" s="340"/>
      <c r="F283" s="341"/>
      <c r="G283" s="341"/>
      <c r="H283" s="342"/>
      <c r="I283" s="340"/>
      <c r="J283" s="343"/>
      <c r="K283" s="344"/>
    </row>
    <row r="284" spans="1:11">
      <c r="A284" s="339">
        <v>279</v>
      </c>
      <c r="B284" s="340"/>
      <c r="C284" s="340"/>
      <c r="D284" s="340"/>
      <c r="E284" s="340"/>
      <c r="F284" s="341"/>
      <c r="G284" s="341"/>
      <c r="H284" s="342"/>
      <c r="I284" s="340"/>
      <c r="J284" s="343"/>
      <c r="K284" s="344"/>
    </row>
    <row r="285" spans="1:11">
      <c r="A285" s="339">
        <v>280</v>
      </c>
      <c r="B285" s="340"/>
      <c r="C285" s="340"/>
      <c r="D285" s="340"/>
      <c r="E285" s="340"/>
      <c r="F285" s="341"/>
      <c r="G285" s="341"/>
      <c r="H285" s="342"/>
      <c r="I285" s="340"/>
      <c r="J285" s="343"/>
      <c r="K285" s="344"/>
    </row>
    <row r="286" spans="1:11">
      <c r="A286" s="339">
        <v>281</v>
      </c>
      <c r="B286" s="340"/>
      <c r="C286" s="340"/>
      <c r="D286" s="340"/>
      <c r="E286" s="340"/>
      <c r="F286" s="341"/>
      <c r="G286" s="341"/>
      <c r="H286" s="342"/>
      <c r="I286" s="340"/>
      <c r="J286" s="343"/>
      <c r="K286" s="344"/>
    </row>
    <row r="287" spans="1:11">
      <c r="A287" s="339">
        <v>282</v>
      </c>
      <c r="B287" s="340"/>
      <c r="C287" s="340"/>
      <c r="D287" s="340"/>
      <c r="E287" s="340"/>
      <c r="F287" s="341"/>
      <c r="G287" s="341"/>
      <c r="H287" s="342"/>
      <c r="I287" s="340"/>
      <c r="J287" s="343"/>
      <c r="K287" s="344"/>
    </row>
    <row r="288" spans="1:11">
      <c r="A288" s="339">
        <v>283</v>
      </c>
      <c r="B288" s="340"/>
      <c r="C288" s="340"/>
      <c r="D288" s="340"/>
      <c r="E288" s="340"/>
      <c r="F288" s="341"/>
      <c r="G288" s="341"/>
      <c r="H288" s="342"/>
      <c r="I288" s="340"/>
      <c r="J288" s="343"/>
      <c r="K288" s="344"/>
    </row>
    <row r="289" spans="1:11">
      <c r="A289" s="339">
        <v>284</v>
      </c>
      <c r="B289" s="340"/>
      <c r="C289" s="340"/>
      <c r="D289" s="340"/>
      <c r="E289" s="340"/>
      <c r="F289" s="341"/>
      <c r="G289" s="341"/>
      <c r="H289" s="342"/>
      <c r="I289" s="340"/>
      <c r="J289" s="343"/>
      <c r="K289" s="344"/>
    </row>
    <row r="290" spans="1:11">
      <c r="A290" s="339">
        <v>285</v>
      </c>
      <c r="B290" s="340"/>
      <c r="C290" s="340"/>
      <c r="D290" s="340"/>
      <c r="E290" s="340"/>
      <c r="F290" s="341"/>
      <c r="G290" s="341"/>
      <c r="H290" s="342"/>
      <c r="I290" s="340"/>
      <c r="J290" s="343"/>
      <c r="K290" s="344"/>
    </row>
    <row r="291" spans="1:11">
      <c r="A291" s="339">
        <v>286</v>
      </c>
      <c r="B291" s="340"/>
      <c r="C291" s="340"/>
      <c r="D291" s="340"/>
      <c r="E291" s="340"/>
      <c r="F291" s="341"/>
      <c r="G291" s="341"/>
      <c r="H291" s="342"/>
      <c r="I291" s="340"/>
      <c r="J291" s="343"/>
      <c r="K291" s="344"/>
    </row>
    <row r="292" spans="1:11">
      <c r="A292" s="339">
        <v>287</v>
      </c>
      <c r="B292" s="340"/>
      <c r="C292" s="340"/>
      <c r="D292" s="340"/>
      <c r="E292" s="340"/>
      <c r="F292" s="341"/>
      <c r="G292" s="341"/>
      <c r="H292" s="342"/>
      <c r="I292" s="340"/>
      <c r="J292" s="343"/>
      <c r="K292" s="344"/>
    </row>
    <row r="293" spans="1:11">
      <c r="A293" s="339">
        <v>288</v>
      </c>
      <c r="B293" s="340"/>
      <c r="C293" s="340"/>
      <c r="D293" s="340"/>
      <c r="E293" s="340"/>
      <c r="F293" s="341"/>
      <c r="G293" s="341"/>
      <c r="H293" s="342"/>
      <c r="I293" s="340"/>
      <c r="J293" s="343"/>
      <c r="K293" s="344"/>
    </row>
    <row r="294" spans="1:11">
      <c r="A294" s="339">
        <v>289</v>
      </c>
      <c r="B294" s="340"/>
      <c r="C294" s="340"/>
      <c r="D294" s="340"/>
      <c r="E294" s="340"/>
      <c r="F294" s="341"/>
      <c r="G294" s="341"/>
      <c r="H294" s="342"/>
      <c r="I294" s="340"/>
      <c r="J294" s="343"/>
      <c r="K294" s="344"/>
    </row>
    <row r="295" spans="1:11">
      <c r="A295" s="339">
        <v>290</v>
      </c>
      <c r="B295" s="340"/>
      <c r="C295" s="340"/>
      <c r="D295" s="340"/>
      <c r="E295" s="340"/>
      <c r="F295" s="341"/>
      <c r="G295" s="341"/>
      <c r="H295" s="342"/>
      <c r="I295" s="340"/>
      <c r="J295" s="343"/>
      <c r="K295" s="344"/>
    </row>
    <row r="296" spans="1:11">
      <c r="A296" s="339">
        <v>291</v>
      </c>
      <c r="B296" s="340"/>
      <c r="C296" s="340"/>
      <c r="D296" s="340"/>
      <c r="E296" s="340"/>
      <c r="F296" s="341"/>
      <c r="G296" s="341"/>
      <c r="H296" s="342"/>
      <c r="I296" s="340"/>
      <c r="J296" s="343"/>
      <c r="K296" s="344"/>
    </row>
    <row r="297" spans="1:11">
      <c r="A297" s="339">
        <v>292</v>
      </c>
      <c r="B297" s="340"/>
      <c r="C297" s="340"/>
      <c r="D297" s="340"/>
      <c r="E297" s="340"/>
      <c r="F297" s="341"/>
      <c r="G297" s="341"/>
      <c r="H297" s="342"/>
      <c r="I297" s="340"/>
      <c r="J297" s="343"/>
      <c r="K297" s="344"/>
    </row>
    <row r="298" spans="1:11">
      <c r="A298" s="339">
        <v>293</v>
      </c>
      <c r="B298" s="340"/>
      <c r="C298" s="340"/>
      <c r="D298" s="340"/>
      <c r="E298" s="340"/>
      <c r="F298" s="341"/>
      <c r="G298" s="341"/>
      <c r="H298" s="342"/>
      <c r="I298" s="340"/>
      <c r="J298" s="343"/>
      <c r="K298" s="344"/>
    </row>
    <row r="299" spans="1:11">
      <c r="A299" s="339">
        <v>294</v>
      </c>
      <c r="B299" s="340"/>
      <c r="C299" s="340"/>
      <c r="D299" s="340"/>
      <c r="E299" s="340"/>
      <c r="F299" s="341"/>
      <c r="G299" s="341"/>
      <c r="H299" s="342"/>
      <c r="I299" s="340"/>
      <c r="J299" s="343"/>
      <c r="K299" s="344"/>
    </row>
    <row r="300" spans="1:11">
      <c r="A300" s="339">
        <v>295</v>
      </c>
      <c r="B300" s="340"/>
      <c r="C300" s="340"/>
      <c r="D300" s="340"/>
      <c r="E300" s="340"/>
      <c r="F300" s="341"/>
      <c r="G300" s="341"/>
      <c r="H300" s="342"/>
      <c r="I300" s="340"/>
      <c r="J300" s="343"/>
      <c r="K300" s="344"/>
    </row>
    <row r="301" spans="1:11">
      <c r="A301" s="339">
        <v>296</v>
      </c>
      <c r="B301" s="340"/>
      <c r="C301" s="340"/>
      <c r="D301" s="340"/>
      <c r="E301" s="340"/>
      <c r="F301" s="341"/>
      <c r="G301" s="341"/>
      <c r="H301" s="342"/>
      <c r="I301" s="340"/>
      <c r="J301" s="343"/>
      <c r="K301" s="344"/>
    </row>
    <row r="302" spans="1:11">
      <c r="A302" s="339">
        <v>297</v>
      </c>
      <c r="B302" s="340"/>
      <c r="C302" s="340"/>
      <c r="D302" s="340"/>
      <c r="E302" s="340"/>
      <c r="F302" s="341"/>
      <c r="G302" s="341"/>
      <c r="H302" s="342"/>
      <c r="I302" s="340"/>
      <c r="J302" s="343"/>
      <c r="K302" s="344"/>
    </row>
    <row r="303" spans="1:11">
      <c r="A303" s="339">
        <v>298</v>
      </c>
      <c r="B303" s="340"/>
      <c r="C303" s="340"/>
      <c r="D303" s="340"/>
      <c r="E303" s="340"/>
      <c r="F303" s="341"/>
      <c r="G303" s="341"/>
      <c r="H303" s="342"/>
      <c r="I303" s="340"/>
      <c r="J303" s="343"/>
      <c r="K303" s="344"/>
    </row>
    <row r="304" spans="1:11">
      <c r="A304" s="339">
        <v>299</v>
      </c>
      <c r="B304" s="340"/>
      <c r="C304" s="340"/>
      <c r="D304" s="340"/>
      <c r="E304" s="340"/>
      <c r="F304" s="341"/>
      <c r="G304" s="341"/>
      <c r="H304" s="342"/>
      <c r="I304" s="340"/>
      <c r="J304" s="343"/>
      <c r="K304" s="344"/>
    </row>
    <row r="305" spans="1:11">
      <c r="A305" s="339">
        <v>300</v>
      </c>
      <c r="B305" s="340"/>
      <c r="C305" s="340"/>
      <c r="D305" s="340"/>
      <c r="E305" s="340"/>
      <c r="F305" s="341"/>
      <c r="G305" s="341"/>
      <c r="H305" s="342"/>
      <c r="I305" s="340"/>
      <c r="J305" s="343"/>
      <c r="K305" s="344"/>
    </row>
    <row r="306" spans="1:11">
      <c r="A306" s="339">
        <v>301</v>
      </c>
      <c r="B306" s="340"/>
      <c r="C306" s="340"/>
      <c r="D306" s="340"/>
      <c r="E306" s="340"/>
      <c r="F306" s="341"/>
      <c r="G306" s="341"/>
      <c r="H306" s="342"/>
      <c r="I306" s="340"/>
      <c r="J306" s="343"/>
      <c r="K306" s="344"/>
    </row>
    <row r="307" spans="1:11">
      <c r="A307" s="339">
        <v>302</v>
      </c>
      <c r="B307" s="340"/>
      <c r="C307" s="340"/>
      <c r="D307" s="340"/>
      <c r="E307" s="340"/>
      <c r="F307" s="341"/>
      <c r="G307" s="341"/>
      <c r="H307" s="342"/>
      <c r="I307" s="340"/>
      <c r="J307" s="343"/>
      <c r="K307" s="344"/>
    </row>
    <row r="308" spans="1:11">
      <c r="A308" s="339">
        <v>303</v>
      </c>
      <c r="B308" s="340"/>
      <c r="C308" s="340"/>
      <c r="D308" s="340"/>
      <c r="E308" s="340"/>
      <c r="F308" s="341"/>
      <c r="G308" s="341"/>
      <c r="H308" s="342"/>
      <c r="I308" s="340"/>
      <c r="J308" s="343"/>
      <c r="K308" s="344"/>
    </row>
    <row r="309" spans="1:11">
      <c r="A309" s="339">
        <v>304</v>
      </c>
      <c r="B309" s="340"/>
      <c r="C309" s="340"/>
      <c r="D309" s="340"/>
      <c r="E309" s="340"/>
      <c r="F309" s="341"/>
      <c r="G309" s="341"/>
      <c r="H309" s="342"/>
      <c r="I309" s="340"/>
      <c r="J309" s="343"/>
      <c r="K309" s="344"/>
    </row>
    <row r="310" spans="1:11">
      <c r="A310" s="339">
        <v>305</v>
      </c>
      <c r="B310" s="340"/>
      <c r="C310" s="340"/>
      <c r="D310" s="340"/>
      <c r="E310" s="340"/>
      <c r="F310" s="341"/>
      <c r="G310" s="341"/>
      <c r="H310" s="342"/>
      <c r="I310" s="340"/>
      <c r="J310" s="343"/>
      <c r="K310" s="344"/>
    </row>
    <row r="311" spans="1:11">
      <c r="A311" s="339">
        <v>306</v>
      </c>
      <c r="B311" s="340"/>
      <c r="C311" s="340"/>
      <c r="D311" s="340"/>
      <c r="E311" s="340"/>
      <c r="F311" s="341"/>
      <c r="G311" s="341"/>
      <c r="H311" s="342"/>
      <c r="I311" s="340"/>
      <c r="J311" s="343"/>
      <c r="K311" s="344"/>
    </row>
    <row r="312" spans="1:11">
      <c r="A312" s="339">
        <v>307</v>
      </c>
      <c r="B312" s="340"/>
      <c r="C312" s="340"/>
      <c r="D312" s="340"/>
      <c r="E312" s="340"/>
      <c r="F312" s="341"/>
      <c r="G312" s="341"/>
      <c r="H312" s="342"/>
      <c r="I312" s="340"/>
      <c r="J312" s="343"/>
      <c r="K312" s="344"/>
    </row>
    <row r="313" spans="1:11">
      <c r="A313" s="339">
        <v>308</v>
      </c>
      <c r="B313" s="340"/>
      <c r="C313" s="340"/>
      <c r="D313" s="340"/>
      <c r="E313" s="340"/>
      <c r="F313" s="341"/>
      <c r="G313" s="341"/>
      <c r="H313" s="342"/>
      <c r="I313" s="340"/>
      <c r="J313" s="343"/>
      <c r="K313" s="344"/>
    </row>
    <row r="314" spans="1:11">
      <c r="A314" s="339">
        <v>309</v>
      </c>
      <c r="B314" s="340"/>
      <c r="C314" s="340"/>
      <c r="D314" s="340"/>
      <c r="E314" s="340"/>
      <c r="F314" s="341"/>
      <c r="G314" s="341"/>
      <c r="H314" s="342"/>
      <c r="I314" s="340"/>
      <c r="J314" s="343"/>
      <c r="K314" s="344"/>
    </row>
    <row r="315" spans="1:11">
      <c r="A315" s="339">
        <v>310</v>
      </c>
      <c r="B315" s="340"/>
      <c r="C315" s="340"/>
      <c r="D315" s="340"/>
      <c r="E315" s="340"/>
      <c r="F315" s="341"/>
      <c r="G315" s="341"/>
      <c r="H315" s="342"/>
      <c r="I315" s="340"/>
      <c r="J315" s="343"/>
      <c r="K315" s="344"/>
    </row>
    <row r="316" spans="1:11">
      <c r="A316" s="339">
        <v>311</v>
      </c>
      <c r="B316" s="340"/>
      <c r="C316" s="340"/>
      <c r="D316" s="340"/>
      <c r="E316" s="340"/>
      <c r="F316" s="341"/>
      <c r="G316" s="341"/>
      <c r="H316" s="342"/>
      <c r="I316" s="340"/>
      <c r="J316" s="343"/>
      <c r="K316" s="344"/>
    </row>
    <row r="317" spans="1:11">
      <c r="A317" s="339">
        <v>312</v>
      </c>
      <c r="B317" s="340"/>
      <c r="C317" s="340"/>
      <c r="D317" s="340"/>
      <c r="E317" s="340"/>
      <c r="F317" s="341"/>
      <c r="G317" s="341"/>
      <c r="H317" s="342"/>
      <c r="I317" s="340"/>
      <c r="J317" s="343"/>
      <c r="K317" s="344"/>
    </row>
    <row r="318" spans="1:11">
      <c r="A318" s="339">
        <v>313</v>
      </c>
      <c r="B318" s="340"/>
      <c r="C318" s="340"/>
      <c r="D318" s="340"/>
      <c r="E318" s="340"/>
      <c r="F318" s="341"/>
      <c r="G318" s="341"/>
      <c r="H318" s="342"/>
      <c r="I318" s="340"/>
      <c r="J318" s="343"/>
      <c r="K318" s="344"/>
    </row>
    <row r="319" spans="1:11">
      <c r="A319" s="339">
        <v>314</v>
      </c>
      <c r="B319" s="340"/>
      <c r="C319" s="340"/>
      <c r="D319" s="340"/>
      <c r="E319" s="340"/>
      <c r="F319" s="341"/>
      <c r="G319" s="341"/>
      <c r="H319" s="342"/>
      <c r="I319" s="340"/>
      <c r="J319" s="343"/>
      <c r="K319" s="344"/>
    </row>
    <row r="320" spans="1:11">
      <c r="A320" s="339">
        <v>315</v>
      </c>
      <c r="B320" s="340"/>
      <c r="C320" s="340"/>
      <c r="D320" s="340"/>
      <c r="E320" s="340"/>
      <c r="F320" s="341"/>
      <c r="G320" s="341"/>
      <c r="H320" s="342"/>
      <c r="I320" s="340"/>
      <c r="J320" s="343"/>
      <c r="K320" s="344"/>
    </row>
    <row r="321" spans="1:11">
      <c r="A321" s="339">
        <v>316</v>
      </c>
      <c r="B321" s="340"/>
      <c r="C321" s="340"/>
      <c r="D321" s="340"/>
      <c r="E321" s="340"/>
      <c r="F321" s="341"/>
      <c r="G321" s="341"/>
      <c r="H321" s="342"/>
      <c r="I321" s="340"/>
      <c r="J321" s="343"/>
      <c r="K321" s="344"/>
    </row>
    <row r="322" spans="1:11">
      <c r="A322" s="339">
        <v>317</v>
      </c>
      <c r="B322" s="340"/>
      <c r="C322" s="340"/>
      <c r="D322" s="340"/>
      <c r="E322" s="340"/>
      <c r="F322" s="341"/>
      <c r="G322" s="341"/>
      <c r="H322" s="342"/>
      <c r="I322" s="340"/>
      <c r="J322" s="343"/>
      <c r="K322" s="344"/>
    </row>
    <row r="323" spans="1:11">
      <c r="A323" s="339">
        <v>318</v>
      </c>
      <c r="B323" s="340"/>
      <c r="C323" s="340"/>
      <c r="D323" s="340"/>
      <c r="E323" s="340"/>
      <c r="F323" s="341"/>
      <c r="G323" s="341"/>
      <c r="H323" s="342"/>
      <c r="I323" s="340"/>
      <c r="J323" s="343"/>
      <c r="K323" s="344"/>
    </row>
    <row r="324" spans="1:11">
      <c r="A324" s="339">
        <v>319</v>
      </c>
      <c r="B324" s="340"/>
      <c r="C324" s="340"/>
      <c r="D324" s="340"/>
      <c r="E324" s="340"/>
      <c r="F324" s="341"/>
      <c r="G324" s="341"/>
      <c r="H324" s="342"/>
      <c r="I324" s="340"/>
      <c r="J324" s="343"/>
      <c r="K324" s="344"/>
    </row>
    <row r="325" spans="1:11">
      <c r="A325" s="339">
        <v>320</v>
      </c>
      <c r="B325" s="340"/>
      <c r="C325" s="340"/>
      <c r="D325" s="340"/>
      <c r="E325" s="340"/>
      <c r="F325" s="341"/>
      <c r="G325" s="341"/>
      <c r="H325" s="342"/>
      <c r="I325" s="340"/>
      <c r="J325" s="343"/>
      <c r="K325" s="344"/>
    </row>
    <row r="326" spans="1:11">
      <c r="A326" s="339">
        <v>321</v>
      </c>
      <c r="B326" s="340"/>
      <c r="C326" s="340"/>
      <c r="D326" s="340"/>
      <c r="E326" s="340"/>
      <c r="F326" s="341"/>
      <c r="G326" s="341"/>
      <c r="H326" s="342"/>
      <c r="I326" s="340"/>
      <c r="J326" s="343"/>
      <c r="K326" s="344"/>
    </row>
    <row r="327" spans="1:11">
      <c r="A327" s="339">
        <v>322</v>
      </c>
      <c r="B327" s="340"/>
      <c r="C327" s="340"/>
      <c r="D327" s="340"/>
      <c r="E327" s="340"/>
      <c r="F327" s="341"/>
      <c r="G327" s="341"/>
      <c r="H327" s="342"/>
      <c r="I327" s="340"/>
      <c r="J327" s="343"/>
      <c r="K327" s="344"/>
    </row>
    <row r="328" spans="1:11">
      <c r="A328" s="339">
        <v>323</v>
      </c>
      <c r="B328" s="340"/>
      <c r="C328" s="340"/>
      <c r="D328" s="340"/>
      <c r="E328" s="340"/>
      <c r="F328" s="341"/>
      <c r="G328" s="341"/>
      <c r="H328" s="342"/>
      <c r="I328" s="340"/>
      <c r="J328" s="343"/>
      <c r="K328" s="344"/>
    </row>
    <row r="329" spans="1:11">
      <c r="A329" s="339">
        <v>324</v>
      </c>
      <c r="B329" s="340"/>
      <c r="C329" s="340"/>
      <c r="D329" s="340"/>
      <c r="E329" s="340"/>
      <c r="F329" s="341"/>
      <c r="G329" s="341"/>
      <c r="H329" s="342"/>
      <c r="I329" s="340"/>
      <c r="J329" s="343"/>
      <c r="K329" s="344"/>
    </row>
    <row r="330" spans="1:11">
      <c r="A330" s="339">
        <v>325</v>
      </c>
      <c r="B330" s="340"/>
      <c r="C330" s="340"/>
      <c r="D330" s="340"/>
      <c r="E330" s="340"/>
      <c r="F330" s="341"/>
      <c r="G330" s="341"/>
      <c r="H330" s="342"/>
      <c r="I330" s="340"/>
      <c r="J330" s="343"/>
      <c r="K330" s="344"/>
    </row>
    <row r="331" spans="1:11">
      <c r="A331" s="339">
        <v>326</v>
      </c>
      <c r="B331" s="340"/>
      <c r="C331" s="340"/>
      <c r="D331" s="340"/>
      <c r="E331" s="340"/>
      <c r="F331" s="341"/>
      <c r="G331" s="341"/>
      <c r="H331" s="342"/>
      <c r="I331" s="340"/>
      <c r="J331" s="343"/>
      <c r="K331" s="344"/>
    </row>
    <row r="332" spans="1:11">
      <c r="A332" s="339">
        <v>327</v>
      </c>
      <c r="B332" s="340"/>
      <c r="C332" s="340"/>
      <c r="D332" s="340"/>
      <c r="E332" s="340"/>
      <c r="F332" s="341"/>
      <c r="G332" s="341"/>
      <c r="H332" s="342"/>
      <c r="I332" s="340"/>
      <c r="J332" s="343"/>
      <c r="K332" s="344"/>
    </row>
    <row r="333" spans="1:11">
      <c r="A333" s="339">
        <v>328</v>
      </c>
      <c r="B333" s="340"/>
      <c r="C333" s="340"/>
      <c r="D333" s="340"/>
      <c r="E333" s="340"/>
      <c r="F333" s="341"/>
      <c r="G333" s="341"/>
      <c r="H333" s="342"/>
      <c r="I333" s="340"/>
      <c r="J333" s="343"/>
      <c r="K333" s="344"/>
    </row>
    <row r="334" spans="1:11">
      <c r="A334" s="339">
        <v>329</v>
      </c>
      <c r="B334" s="340"/>
      <c r="C334" s="340"/>
      <c r="D334" s="340"/>
      <c r="E334" s="340"/>
      <c r="F334" s="341"/>
      <c r="G334" s="341"/>
      <c r="H334" s="342"/>
      <c r="I334" s="340"/>
      <c r="J334" s="343"/>
      <c r="K334" s="344"/>
    </row>
    <row r="335" spans="1:11">
      <c r="A335" s="339">
        <v>330</v>
      </c>
      <c r="B335" s="340"/>
      <c r="C335" s="340"/>
      <c r="D335" s="340"/>
      <c r="E335" s="340"/>
      <c r="F335" s="341"/>
      <c r="G335" s="341"/>
      <c r="H335" s="342"/>
      <c r="I335" s="340"/>
      <c r="J335" s="343"/>
      <c r="K335" s="344"/>
    </row>
    <row r="336" spans="1:11">
      <c r="A336" s="339">
        <v>331</v>
      </c>
      <c r="B336" s="340"/>
      <c r="C336" s="340"/>
      <c r="D336" s="340"/>
      <c r="E336" s="340"/>
      <c r="F336" s="341"/>
      <c r="G336" s="341"/>
      <c r="H336" s="342"/>
      <c r="I336" s="340"/>
      <c r="J336" s="343"/>
      <c r="K336" s="344"/>
    </row>
    <row r="337" spans="1:11">
      <c r="A337" s="339">
        <v>332</v>
      </c>
      <c r="B337" s="340"/>
      <c r="C337" s="340"/>
      <c r="D337" s="340"/>
      <c r="E337" s="340"/>
      <c r="F337" s="341"/>
      <c r="G337" s="341"/>
      <c r="H337" s="342"/>
      <c r="I337" s="340"/>
      <c r="J337" s="343"/>
      <c r="K337" s="344"/>
    </row>
    <row r="338" spans="1:11">
      <c r="A338" s="339">
        <v>333</v>
      </c>
      <c r="B338" s="340"/>
      <c r="C338" s="340"/>
      <c r="D338" s="340"/>
      <c r="E338" s="340"/>
      <c r="F338" s="341"/>
      <c r="G338" s="341"/>
      <c r="H338" s="342"/>
      <c r="I338" s="340"/>
      <c r="J338" s="343"/>
      <c r="K338" s="344"/>
    </row>
    <row r="339" spans="1:11">
      <c r="A339" s="339">
        <v>334</v>
      </c>
      <c r="B339" s="340"/>
      <c r="C339" s="340"/>
      <c r="D339" s="340"/>
      <c r="E339" s="340"/>
      <c r="F339" s="341"/>
      <c r="G339" s="341"/>
      <c r="H339" s="342"/>
      <c r="I339" s="340"/>
      <c r="J339" s="343"/>
      <c r="K339" s="344"/>
    </row>
    <row r="340" spans="1:11">
      <c r="A340" s="339">
        <v>335</v>
      </c>
      <c r="B340" s="340"/>
      <c r="C340" s="340"/>
      <c r="D340" s="340"/>
      <c r="E340" s="340"/>
      <c r="F340" s="341"/>
      <c r="G340" s="341"/>
      <c r="H340" s="342"/>
      <c r="I340" s="340"/>
      <c r="J340" s="343"/>
      <c r="K340" s="344"/>
    </row>
    <row r="341" spans="1:11">
      <c r="A341" s="339">
        <v>336</v>
      </c>
      <c r="B341" s="340"/>
      <c r="C341" s="340"/>
      <c r="D341" s="340"/>
      <c r="E341" s="340"/>
      <c r="F341" s="341"/>
      <c r="G341" s="341"/>
      <c r="H341" s="342"/>
      <c r="I341" s="340"/>
      <c r="J341" s="343"/>
      <c r="K341" s="344"/>
    </row>
    <row r="342" spans="1:11">
      <c r="A342" s="339">
        <v>337</v>
      </c>
      <c r="B342" s="340"/>
      <c r="C342" s="340"/>
      <c r="D342" s="340"/>
      <c r="E342" s="340"/>
      <c r="F342" s="341"/>
      <c r="G342" s="341"/>
      <c r="H342" s="342"/>
      <c r="I342" s="340"/>
      <c r="J342" s="343"/>
      <c r="K342" s="344"/>
    </row>
    <row r="343" spans="1:11">
      <c r="A343" s="339">
        <v>338</v>
      </c>
      <c r="B343" s="340"/>
      <c r="C343" s="340"/>
      <c r="D343" s="340"/>
      <c r="E343" s="340"/>
      <c r="F343" s="341"/>
      <c r="G343" s="341"/>
      <c r="H343" s="342"/>
      <c r="I343" s="340"/>
      <c r="J343" s="343"/>
      <c r="K343" s="344"/>
    </row>
    <row r="344" spans="1:11">
      <c r="A344" s="339">
        <v>339</v>
      </c>
      <c r="B344" s="340"/>
      <c r="C344" s="340"/>
      <c r="D344" s="340"/>
      <c r="E344" s="340"/>
      <c r="F344" s="341"/>
      <c r="G344" s="341"/>
      <c r="H344" s="342"/>
      <c r="I344" s="340"/>
      <c r="J344" s="343"/>
      <c r="K344" s="344"/>
    </row>
    <row r="345" spans="1:11">
      <c r="A345" s="339">
        <v>340</v>
      </c>
      <c r="B345" s="340"/>
      <c r="C345" s="340"/>
      <c r="D345" s="340"/>
      <c r="E345" s="340"/>
      <c r="F345" s="341"/>
      <c r="G345" s="341"/>
      <c r="H345" s="342"/>
      <c r="I345" s="340"/>
      <c r="J345" s="343"/>
      <c r="K345" s="344"/>
    </row>
    <row r="346" spans="1:11">
      <c r="A346" s="339">
        <v>341</v>
      </c>
      <c r="B346" s="340"/>
      <c r="C346" s="340"/>
      <c r="D346" s="340"/>
      <c r="E346" s="340"/>
      <c r="F346" s="341"/>
      <c r="G346" s="341"/>
      <c r="H346" s="342"/>
      <c r="I346" s="340"/>
      <c r="J346" s="343"/>
      <c r="K346" s="344"/>
    </row>
    <row r="347" spans="1:11">
      <c r="A347" s="339">
        <v>342</v>
      </c>
      <c r="B347" s="340"/>
      <c r="C347" s="340"/>
      <c r="D347" s="340"/>
      <c r="E347" s="340"/>
      <c r="F347" s="341"/>
      <c r="G347" s="341"/>
      <c r="H347" s="342"/>
      <c r="I347" s="340"/>
      <c r="J347" s="343"/>
      <c r="K347" s="344"/>
    </row>
    <row r="348" spans="1:11">
      <c r="A348" s="339">
        <v>343</v>
      </c>
      <c r="B348" s="340"/>
      <c r="C348" s="340"/>
      <c r="D348" s="340"/>
      <c r="E348" s="340"/>
      <c r="F348" s="341"/>
      <c r="G348" s="341"/>
      <c r="H348" s="342"/>
      <c r="I348" s="340"/>
      <c r="J348" s="343"/>
      <c r="K348" s="344"/>
    </row>
    <row r="349" spans="1:11">
      <c r="A349" s="339">
        <v>344</v>
      </c>
      <c r="B349" s="340"/>
      <c r="C349" s="340"/>
      <c r="D349" s="340"/>
      <c r="E349" s="340"/>
      <c r="F349" s="341"/>
      <c r="G349" s="341"/>
      <c r="H349" s="342"/>
      <c r="I349" s="340"/>
      <c r="J349" s="343"/>
      <c r="K349" s="344"/>
    </row>
    <row r="350" spans="1:11">
      <c r="A350" s="339">
        <v>345</v>
      </c>
      <c r="B350" s="340"/>
      <c r="C350" s="340"/>
      <c r="D350" s="340"/>
      <c r="E350" s="340"/>
      <c r="F350" s="341"/>
      <c r="G350" s="341"/>
      <c r="H350" s="342"/>
      <c r="I350" s="340"/>
      <c r="J350" s="343"/>
      <c r="K350" s="344"/>
    </row>
    <row r="351" spans="1:11">
      <c r="A351" s="339">
        <v>346</v>
      </c>
      <c r="B351" s="340"/>
      <c r="C351" s="340"/>
      <c r="D351" s="340"/>
      <c r="E351" s="340"/>
      <c r="F351" s="341"/>
      <c r="G351" s="341"/>
      <c r="H351" s="342"/>
      <c r="I351" s="340"/>
      <c r="J351" s="343"/>
      <c r="K351" s="344"/>
    </row>
    <row r="352" spans="1:11">
      <c r="A352" s="339">
        <v>347</v>
      </c>
      <c r="B352" s="340"/>
      <c r="C352" s="340"/>
      <c r="D352" s="340"/>
      <c r="E352" s="340"/>
      <c r="F352" s="341"/>
      <c r="G352" s="341"/>
      <c r="H352" s="342"/>
      <c r="I352" s="340"/>
      <c r="J352" s="343"/>
      <c r="K352" s="344"/>
    </row>
    <row r="353" spans="1:11">
      <c r="A353" s="339">
        <v>348</v>
      </c>
      <c r="B353" s="340"/>
      <c r="C353" s="340"/>
      <c r="D353" s="340"/>
      <c r="E353" s="340"/>
      <c r="F353" s="341"/>
      <c r="G353" s="341"/>
      <c r="H353" s="342"/>
      <c r="I353" s="340"/>
      <c r="J353" s="343"/>
      <c r="K353" s="344"/>
    </row>
    <row r="354" spans="1:11">
      <c r="A354" s="339">
        <v>349</v>
      </c>
      <c r="B354" s="340"/>
      <c r="C354" s="340"/>
      <c r="D354" s="340"/>
      <c r="E354" s="340"/>
      <c r="F354" s="341"/>
      <c r="G354" s="341"/>
      <c r="H354" s="342"/>
      <c r="I354" s="340"/>
      <c r="J354" s="343"/>
      <c r="K354" s="344"/>
    </row>
    <row r="355" spans="1:11">
      <c r="A355" s="339">
        <v>350</v>
      </c>
      <c r="B355" s="340"/>
      <c r="C355" s="340"/>
      <c r="D355" s="340"/>
      <c r="E355" s="340"/>
      <c r="F355" s="341"/>
      <c r="G355" s="341"/>
      <c r="H355" s="342"/>
      <c r="I355" s="340"/>
      <c r="J355" s="343"/>
      <c r="K355" s="344"/>
    </row>
    <row r="356" spans="1:11">
      <c r="A356" s="339">
        <v>351</v>
      </c>
      <c r="B356" s="340"/>
      <c r="C356" s="340"/>
      <c r="D356" s="340"/>
      <c r="E356" s="340"/>
      <c r="F356" s="341"/>
      <c r="G356" s="341"/>
      <c r="H356" s="342"/>
      <c r="I356" s="340"/>
      <c r="J356" s="343"/>
      <c r="K356" s="344"/>
    </row>
    <row r="357" spans="1:11">
      <c r="A357" s="339">
        <v>352</v>
      </c>
      <c r="B357" s="340"/>
      <c r="C357" s="340"/>
      <c r="D357" s="340"/>
      <c r="E357" s="340"/>
      <c r="F357" s="341"/>
      <c r="G357" s="341"/>
      <c r="H357" s="342"/>
      <c r="I357" s="340"/>
      <c r="J357" s="343"/>
      <c r="K357" s="344"/>
    </row>
    <row r="358" spans="1:11">
      <c r="A358" s="339">
        <v>353</v>
      </c>
      <c r="B358" s="340"/>
      <c r="C358" s="340"/>
      <c r="D358" s="340"/>
      <c r="E358" s="340"/>
      <c r="F358" s="341"/>
      <c r="G358" s="341"/>
      <c r="H358" s="342"/>
      <c r="I358" s="340"/>
      <c r="J358" s="343"/>
      <c r="K358" s="344"/>
    </row>
    <row r="359" spans="1:11">
      <c r="A359" s="339">
        <v>354</v>
      </c>
      <c r="B359" s="340"/>
      <c r="C359" s="340"/>
      <c r="D359" s="340"/>
      <c r="E359" s="340"/>
      <c r="F359" s="341"/>
      <c r="G359" s="341"/>
      <c r="H359" s="342"/>
      <c r="I359" s="340"/>
      <c r="J359" s="343"/>
      <c r="K359" s="344"/>
    </row>
    <row r="360" spans="1:11">
      <c r="A360" s="339">
        <v>355</v>
      </c>
      <c r="B360" s="340"/>
      <c r="C360" s="340"/>
      <c r="D360" s="340"/>
      <c r="E360" s="340"/>
      <c r="F360" s="341"/>
      <c r="G360" s="341"/>
      <c r="H360" s="342"/>
      <c r="I360" s="340"/>
      <c r="J360" s="343"/>
      <c r="K360" s="344"/>
    </row>
    <row r="361" spans="1:11">
      <c r="A361" s="339">
        <v>356</v>
      </c>
      <c r="B361" s="340"/>
      <c r="C361" s="340"/>
      <c r="D361" s="340"/>
      <c r="E361" s="340"/>
      <c r="F361" s="341"/>
      <c r="G361" s="341"/>
      <c r="H361" s="342"/>
      <c r="I361" s="340"/>
      <c r="J361" s="343"/>
      <c r="K361" s="344"/>
    </row>
    <row r="362" spans="1:11">
      <c r="A362" s="339">
        <v>357</v>
      </c>
      <c r="B362" s="340"/>
      <c r="C362" s="340"/>
      <c r="D362" s="340"/>
      <c r="E362" s="340"/>
      <c r="F362" s="341"/>
      <c r="G362" s="341"/>
      <c r="H362" s="342"/>
      <c r="I362" s="340"/>
      <c r="J362" s="343"/>
      <c r="K362" s="344"/>
    </row>
    <row r="363" spans="1:11">
      <c r="A363" s="339">
        <v>358</v>
      </c>
      <c r="B363" s="340"/>
      <c r="C363" s="340"/>
      <c r="D363" s="340"/>
      <c r="E363" s="340"/>
      <c r="F363" s="341"/>
      <c r="G363" s="341"/>
      <c r="H363" s="342"/>
      <c r="I363" s="340"/>
      <c r="J363" s="343"/>
      <c r="K363" s="344"/>
    </row>
    <row r="364" spans="1:11">
      <c r="A364" s="339">
        <v>359</v>
      </c>
      <c r="B364" s="340"/>
      <c r="C364" s="340"/>
      <c r="D364" s="340"/>
      <c r="E364" s="340"/>
      <c r="F364" s="341"/>
      <c r="G364" s="341"/>
      <c r="H364" s="342"/>
      <c r="I364" s="340"/>
      <c r="J364" s="343"/>
      <c r="K364" s="344"/>
    </row>
    <row r="365" spans="1:11">
      <c r="A365" s="339">
        <v>360</v>
      </c>
      <c r="B365" s="340"/>
      <c r="C365" s="340"/>
      <c r="D365" s="340"/>
      <c r="E365" s="340"/>
      <c r="F365" s="341"/>
      <c r="G365" s="341"/>
      <c r="H365" s="342"/>
      <c r="I365" s="340"/>
      <c r="J365" s="343"/>
      <c r="K365" s="344"/>
    </row>
    <row r="366" spans="1:11">
      <c r="A366" s="339">
        <v>361</v>
      </c>
      <c r="B366" s="340"/>
      <c r="C366" s="340"/>
      <c r="D366" s="340"/>
      <c r="E366" s="340"/>
      <c r="F366" s="341"/>
      <c r="G366" s="341"/>
      <c r="H366" s="342"/>
      <c r="I366" s="340"/>
      <c r="J366" s="343"/>
      <c r="K366" s="344"/>
    </row>
    <row r="367" spans="1:11">
      <c r="A367" s="339">
        <v>362</v>
      </c>
      <c r="B367" s="340"/>
      <c r="C367" s="340"/>
      <c r="D367" s="340"/>
      <c r="E367" s="340"/>
      <c r="F367" s="341"/>
      <c r="G367" s="341"/>
      <c r="H367" s="342"/>
      <c r="I367" s="340"/>
      <c r="J367" s="343"/>
      <c r="K367" s="344"/>
    </row>
    <row r="368" spans="1:11">
      <c r="A368" s="339">
        <v>363</v>
      </c>
      <c r="B368" s="340"/>
      <c r="C368" s="340"/>
      <c r="D368" s="340"/>
      <c r="E368" s="340"/>
      <c r="F368" s="341"/>
      <c r="G368" s="341"/>
      <c r="H368" s="342"/>
      <c r="I368" s="340"/>
      <c r="J368" s="343"/>
      <c r="K368" s="344"/>
    </row>
    <row r="369" spans="1:11">
      <c r="A369" s="339">
        <v>364</v>
      </c>
      <c r="B369" s="340"/>
      <c r="C369" s="340"/>
      <c r="D369" s="340"/>
      <c r="E369" s="340"/>
      <c r="F369" s="341"/>
      <c r="G369" s="341"/>
      <c r="H369" s="342"/>
      <c r="I369" s="340"/>
      <c r="J369" s="343"/>
      <c r="K369" s="344"/>
    </row>
    <row r="370" spans="1:11">
      <c r="A370" s="339">
        <v>365</v>
      </c>
      <c r="B370" s="340"/>
      <c r="C370" s="340"/>
      <c r="D370" s="340"/>
      <c r="E370" s="340"/>
      <c r="F370" s="341"/>
      <c r="G370" s="341"/>
      <c r="H370" s="342"/>
      <c r="I370" s="340"/>
      <c r="J370" s="343"/>
      <c r="K370" s="344"/>
    </row>
    <row r="371" spans="1:11">
      <c r="A371" s="339">
        <v>366</v>
      </c>
      <c r="B371" s="340"/>
      <c r="C371" s="340"/>
      <c r="D371" s="340"/>
      <c r="E371" s="340"/>
      <c r="F371" s="341"/>
      <c r="G371" s="341"/>
      <c r="H371" s="342"/>
      <c r="I371" s="340"/>
      <c r="J371" s="343"/>
      <c r="K371" s="344"/>
    </row>
    <row r="372" spans="1:11">
      <c r="A372" s="339">
        <v>367</v>
      </c>
      <c r="B372" s="340"/>
      <c r="C372" s="340"/>
      <c r="D372" s="340"/>
      <c r="E372" s="340"/>
      <c r="F372" s="341"/>
      <c r="G372" s="341"/>
      <c r="H372" s="342"/>
      <c r="I372" s="340"/>
      <c r="J372" s="343"/>
      <c r="K372" s="344"/>
    </row>
    <row r="373" spans="1:11">
      <c r="A373" s="339">
        <v>368</v>
      </c>
      <c r="B373" s="340"/>
      <c r="C373" s="340"/>
      <c r="D373" s="340"/>
      <c r="E373" s="340"/>
      <c r="F373" s="341"/>
      <c r="G373" s="341"/>
      <c r="H373" s="342"/>
      <c r="I373" s="340"/>
      <c r="J373" s="343"/>
      <c r="K373" s="344"/>
    </row>
    <row r="374" spans="1:11">
      <c r="A374" s="339">
        <v>369</v>
      </c>
      <c r="B374" s="340"/>
      <c r="C374" s="340"/>
      <c r="D374" s="340"/>
      <c r="E374" s="340"/>
      <c r="F374" s="341"/>
      <c r="G374" s="341"/>
      <c r="H374" s="342"/>
      <c r="I374" s="340"/>
      <c r="J374" s="343"/>
      <c r="K374" s="344"/>
    </row>
    <row r="375" spans="1:11">
      <c r="A375" s="339">
        <v>370</v>
      </c>
      <c r="B375" s="340"/>
      <c r="C375" s="340"/>
      <c r="D375" s="340"/>
      <c r="E375" s="340"/>
      <c r="F375" s="341"/>
      <c r="G375" s="341"/>
      <c r="H375" s="342"/>
      <c r="I375" s="340"/>
      <c r="J375" s="343"/>
      <c r="K375" s="344"/>
    </row>
    <row r="376" spans="1:11">
      <c r="A376" s="339">
        <v>371</v>
      </c>
      <c r="B376" s="340"/>
      <c r="C376" s="340"/>
      <c r="D376" s="340"/>
      <c r="E376" s="340"/>
      <c r="F376" s="341"/>
      <c r="G376" s="341"/>
      <c r="H376" s="342"/>
      <c r="I376" s="340"/>
      <c r="J376" s="343"/>
      <c r="K376" s="344"/>
    </row>
    <row r="377" spans="1:11">
      <c r="A377" s="339">
        <v>372</v>
      </c>
      <c r="B377" s="340"/>
      <c r="C377" s="340"/>
      <c r="D377" s="340"/>
      <c r="E377" s="340"/>
      <c r="F377" s="341"/>
      <c r="G377" s="341"/>
      <c r="H377" s="342"/>
      <c r="I377" s="340"/>
      <c r="J377" s="343"/>
      <c r="K377" s="344"/>
    </row>
    <row r="378" spans="1:11">
      <c r="A378" s="339">
        <v>373</v>
      </c>
      <c r="B378" s="340"/>
      <c r="C378" s="340"/>
      <c r="D378" s="340"/>
      <c r="E378" s="340"/>
      <c r="F378" s="341"/>
      <c r="G378" s="341"/>
      <c r="H378" s="342"/>
      <c r="I378" s="340"/>
      <c r="J378" s="343"/>
      <c r="K378" s="344"/>
    </row>
    <row r="379" spans="1:11">
      <c r="A379" s="339">
        <v>374</v>
      </c>
      <c r="B379" s="340"/>
      <c r="C379" s="340"/>
      <c r="D379" s="340"/>
      <c r="E379" s="340"/>
      <c r="F379" s="341"/>
      <c r="G379" s="341"/>
      <c r="H379" s="342"/>
      <c r="I379" s="340"/>
      <c r="J379" s="343"/>
      <c r="K379" s="344"/>
    </row>
    <row r="380" spans="1:11">
      <c r="A380" s="339">
        <v>375</v>
      </c>
      <c r="B380" s="340"/>
      <c r="C380" s="340"/>
      <c r="D380" s="340"/>
      <c r="E380" s="340"/>
      <c r="F380" s="341"/>
      <c r="G380" s="341"/>
      <c r="H380" s="342"/>
      <c r="I380" s="340"/>
      <c r="J380" s="343"/>
      <c r="K380" s="344"/>
    </row>
    <row r="381" spans="1:11">
      <c r="A381" s="339">
        <v>376</v>
      </c>
      <c r="B381" s="340"/>
      <c r="C381" s="340"/>
      <c r="D381" s="340"/>
      <c r="E381" s="340"/>
      <c r="F381" s="341"/>
      <c r="G381" s="341"/>
      <c r="H381" s="342"/>
      <c r="I381" s="340"/>
      <c r="J381" s="343"/>
      <c r="K381" s="344"/>
    </row>
    <row r="382" spans="1:11">
      <c r="A382" s="339">
        <v>377</v>
      </c>
      <c r="B382" s="340"/>
      <c r="C382" s="340"/>
      <c r="D382" s="340"/>
      <c r="E382" s="340"/>
      <c r="F382" s="341"/>
      <c r="G382" s="341"/>
      <c r="H382" s="342"/>
      <c r="I382" s="340"/>
      <c r="J382" s="343"/>
      <c r="K382" s="344"/>
    </row>
    <row r="383" spans="1:11">
      <c r="A383" s="339">
        <v>378</v>
      </c>
      <c r="B383" s="340"/>
      <c r="C383" s="340"/>
      <c r="D383" s="340"/>
      <c r="E383" s="340"/>
      <c r="F383" s="341"/>
      <c r="G383" s="341"/>
      <c r="H383" s="342"/>
      <c r="I383" s="340"/>
      <c r="J383" s="343"/>
      <c r="K383" s="344"/>
    </row>
    <row r="384" spans="1:11">
      <c r="A384" s="339">
        <v>379</v>
      </c>
      <c r="B384" s="340"/>
      <c r="C384" s="340"/>
      <c r="D384" s="340"/>
      <c r="E384" s="340"/>
      <c r="F384" s="341"/>
      <c r="G384" s="341"/>
      <c r="H384" s="342"/>
      <c r="I384" s="340"/>
      <c r="J384" s="343"/>
      <c r="K384" s="344"/>
    </row>
    <row r="385" spans="1:11">
      <c r="A385" s="339">
        <v>380</v>
      </c>
      <c r="B385" s="340"/>
      <c r="C385" s="340"/>
      <c r="D385" s="340"/>
      <c r="E385" s="340"/>
      <c r="F385" s="341"/>
      <c r="G385" s="341"/>
      <c r="H385" s="342"/>
      <c r="I385" s="340"/>
      <c r="J385" s="343"/>
      <c r="K385" s="344"/>
    </row>
    <row r="386" spans="1:11">
      <c r="A386" s="339">
        <v>381</v>
      </c>
      <c r="B386" s="340"/>
      <c r="C386" s="340"/>
      <c r="D386" s="340"/>
      <c r="E386" s="340"/>
      <c r="F386" s="341"/>
      <c r="G386" s="341"/>
      <c r="H386" s="342"/>
      <c r="I386" s="340"/>
      <c r="J386" s="343"/>
      <c r="K386" s="344"/>
    </row>
    <row r="387" spans="1:11">
      <c r="A387" s="339">
        <v>382</v>
      </c>
      <c r="B387" s="340"/>
      <c r="C387" s="340"/>
      <c r="D387" s="340"/>
      <c r="E387" s="340"/>
      <c r="F387" s="341"/>
      <c r="G387" s="341"/>
      <c r="H387" s="342"/>
      <c r="I387" s="340"/>
      <c r="J387" s="343"/>
      <c r="K387" s="344"/>
    </row>
    <row r="388" spans="1:11">
      <c r="A388" s="339">
        <v>383</v>
      </c>
      <c r="B388" s="340"/>
      <c r="C388" s="340"/>
      <c r="D388" s="340"/>
      <c r="E388" s="340"/>
      <c r="F388" s="341"/>
      <c r="G388" s="341"/>
      <c r="H388" s="342"/>
      <c r="I388" s="340"/>
      <c r="J388" s="343"/>
      <c r="K388" s="344"/>
    </row>
    <row r="389" spans="1:11">
      <c r="A389" s="339">
        <v>384</v>
      </c>
      <c r="B389" s="340"/>
      <c r="C389" s="340"/>
      <c r="D389" s="340"/>
      <c r="E389" s="340"/>
      <c r="F389" s="341"/>
      <c r="G389" s="341"/>
      <c r="H389" s="342"/>
      <c r="I389" s="340"/>
      <c r="J389" s="343"/>
      <c r="K389" s="344"/>
    </row>
    <row r="390" spans="1:11">
      <c r="A390" s="339">
        <v>385</v>
      </c>
      <c r="B390" s="340"/>
      <c r="C390" s="340"/>
      <c r="D390" s="340"/>
      <c r="E390" s="340"/>
      <c r="F390" s="341"/>
      <c r="G390" s="341"/>
      <c r="H390" s="342"/>
      <c r="I390" s="340"/>
      <c r="J390" s="343"/>
      <c r="K390" s="344"/>
    </row>
    <row r="391" spans="1:11">
      <c r="A391" s="339">
        <v>386</v>
      </c>
      <c r="B391" s="340"/>
      <c r="C391" s="340"/>
      <c r="D391" s="340"/>
      <c r="E391" s="340"/>
      <c r="F391" s="341"/>
      <c r="G391" s="341"/>
      <c r="H391" s="342"/>
      <c r="I391" s="340"/>
      <c r="J391" s="343"/>
      <c r="K391" s="344"/>
    </row>
    <row r="392" spans="1:11">
      <c r="A392" s="339">
        <v>387</v>
      </c>
      <c r="B392" s="340"/>
      <c r="C392" s="340"/>
      <c r="D392" s="340"/>
      <c r="E392" s="340"/>
      <c r="F392" s="341"/>
      <c r="G392" s="341"/>
      <c r="H392" s="342"/>
      <c r="I392" s="340"/>
      <c r="J392" s="343"/>
      <c r="K392" s="344"/>
    </row>
    <row r="393" spans="1:11">
      <c r="A393" s="339">
        <v>388</v>
      </c>
      <c r="B393" s="340"/>
      <c r="C393" s="340"/>
      <c r="D393" s="340"/>
      <c r="E393" s="340"/>
      <c r="F393" s="341"/>
      <c r="G393" s="341"/>
      <c r="H393" s="342"/>
      <c r="I393" s="340"/>
      <c r="J393" s="343"/>
      <c r="K393" s="344"/>
    </row>
    <row r="394" spans="1:11">
      <c r="A394" s="339">
        <v>389</v>
      </c>
      <c r="B394" s="340"/>
      <c r="C394" s="340"/>
      <c r="D394" s="340"/>
      <c r="E394" s="340"/>
      <c r="F394" s="341"/>
      <c r="G394" s="341"/>
      <c r="H394" s="342"/>
      <c r="I394" s="340"/>
      <c r="J394" s="343"/>
      <c r="K394" s="344"/>
    </row>
    <row r="395" spans="1:11">
      <c r="A395" s="339">
        <v>390</v>
      </c>
      <c r="B395" s="340"/>
      <c r="C395" s="340"/>
      <c r="D395" s="340"/>
      <c r="E395" s="340"/>
      <c r="F395" s="341"/>
      <c r="G395" s="341"/>
      <c r="H395" s="342"/>
      <c r="I395" s="340"/>
      <c r="J395" s="343"/>
      <c r="K395" s="344"/>
    </row>
    <row r="396" spans="1:11">
      <c r="A396" s="339">
        <v>391</v>
      </c>
      <c r="B396" s="340"/>
      <c r="C396" s="340"/>
      <c r="D396" s="340"/>
      <c r="E396" s="340"/>
      <c r="F396" s="341"/>
      <c r="G396" s="341"/>
      <c r="H396" s="342"/>
      <c r="I396" s="340"/>
      <c r="J396" s="343"/>
      <c r="K396" s="344"/>
    </row>
    <row r="397" spans="1:11">
      <c r="A397" s="339">
        <v>392</v>
      </c>
      <c r="B397" s="340"/>
      <c r="C397" s="340"/>
      <c r="D397" s="340"/>
      <c r="E397" s="340"/>
      <c r="F397" s="341"/>
      <c r="G397" s="341"/>
      <c r="H397" s="342"/>
      <c r="I397" s="340"/>
      <c r="J397" s="343"/>
      <c r="K397" s="344"/>
    </row>
    <row r="398" spans="1:11">
      <c r="A398" s="339">
        <v>393</v>
      </c>
      <c r="B398" s="340"/>
      <c r="C398" s="340"/>
      <c r="D398" s="340"/>
      <c r="E398" s="340"/>
      <c r="F398" s="341"/>
      <c r="G398" s="341"/>
      <c r="H398" s="342"/>
      <c r="I398" s="340"/>
      <c r="J398" s="343"/>
      <c r="K398" s="344"/>
    </row>
    <row r="399" spans="1:11">
      <c r="A399" s="339">
        <v>394</v>
      </c>
      <c r="B399" s="340"/>
      <c r="C399" s="340"/>
      <c r="D399" s="340"/>
      <c r="E399" s="340"/>
      <c r="F399" s="341"/>
      <c r="G399" s="341"/>
      <c r="H399" s="342"/>
      <c r="I399" s="340"/>
      <c r="J399" s="343"/>
      <c r="K399" s="344"/>
    </row>
    <row r="400" spans="1:11">
      <c r="A400" s="339">
        <v>395</v>
      </c>
      <c r="B400" s="340"/>
      <c r="C400" s="340"/>
      <c r="D400" s="340"/>
      <c r="E400" s="340"/>
      <c r="F400" s="341"/>
      <c r="G400" s="341"/>
      <c r="H400" s="342"/>
      <c r="I400" s="340"/>
      <c r="J400" s="343"/>
      <c r="K400" s="344"/>
    </row>
    <row r="401" spans="1:11">
      <c r="A401" s="339">
        <v>396</v>
      </c>
      <c r="B401" s="340"/>
      <c r="C401" s="340"/>
      <c r="D401" s="340"/>
      <c r="E401" s="340"/>
      <c r="F401" s="341"/>
      <c r="G401" s="341"/>
      <c r="H401" s="342"/>
      <c r="I401" s="340"/>
      <c r="J401" s="343"/>
      <c r="K401" s="344"/>
    </row>
    <row r="402" spans="1:11">
      <c r="A402" s="339">
        <v>397</v>
      </c>
      <c r="B402" s="340"/>
      <c r="C402" s="340"/>
      <c r="D402" s="340"/>
      <c r="E402" s="340"/>
      <c r="F402" s="341"/>
      <c r="G402" s="341"/>
      <c r="H402" s="342"/>
      <c r="I402" s="340"/>
      <c r="J402" s="343"/>
      <c r="K402" s="344"/>
    </row>
    <row r="403" spans="1:11">
      <c r="A403" s="339">
        <v>398</v>
      </c>
      <c r="B403" s="340"/>
      <c r="C403" s="340"/>
      <c r="D403" s="340"/>
      <c r="E403" s="340"/>
      <c r="F403" s="341"/>
      <c r="G403" s="341"/>
      <c r="H403" s="342"/>
      <c r="I403" s="340"/>
      <c r="J403" s="343"/>
      <c r="K403" s="344"/>
    </row>
    <row r="404" spans="1:11">
      <c r="A404" s="339">
        <v>399</v>
      </c>
      <c r="B404" s="340"/>
      <c r="C404" s="340"/>
      <c r="D404" s="340"/>
      <c r="E404" s="340"/>
      <c r="F404" s="341"/>
      <c r="G404" s="341"/>
      <c r="H404" s="342"/>
      <c r="I404" s="340"/>
      <c r="J404" s="343"/>
      <c r="K404" s="344"/>
    </row>
    <row r="405" spans="1:11">
      <c r="A405" s="339">
        <v>400</v>
      </c>
      <c r="B405" s="340"/>
      <c r="C405" s="340"/>
      <c r="D405" s="340"/>
      <c r="E405" s="340"/>
      <c r="F405" s="341"/>
      <c r="G405" s="341"/>
      <c r="H405" s="342"/>
      <c r="I405" s="340"/>
      <c r="J405" s="343"/>
      <c r="K405" s="344"/>
    </row>
    <row r="406" spans="1:11">
      <c r="A406" s="339">
        <v>401</v>
      </c>
      <c r="B406" s="340"/>
      <c r="C406" s="340"/>
      <c r="D406" s="340"/>
      <c r="E406" s="340"/>
      <c r="F406" s="341"/>
      <c r="G406" s="341"/>
      <c r="H406" s="342"/>
      <c r="I406" s="340"/>
      <c r="J406" s="343"/>
      <c r="K406" s="344"/>
    </row>
    <row r="407" spans="1:11">
      <c r="A407" s="339">
        <v>402</v>
      </c>
      <c r="B407" s="340"/>
      <c r="C407" s="340"/>
      <c r="D407" s="340"/>
      <c r="E407" s="340"/>
      <c r="F407" s="341"/>
      <c r="G407" s="341"/>
      <c r="H407" s="342"/>
      <c r="I407" s="340"/>
      <c r="J407" s="343"/>
      <c r="K407" s="344"/>
    </row>
    <row r="408" spans="1:11">
      <c r="A408" s="339">
        <v>403</v>
      </c>
      <c r="B408" s="340"/>
      <c r="C408" s="340"/>
      <c r="D408" s="340"/>
      <c r="E408" s="340"/>
      <c r="F408" s="341"/>
      <c r="G408" s="341"/>
      <c r="H408" s="342"/>
      <c r="I408" s="340"/>
      <c r="J408" s="343"/>
      <c r="K408" s="344"/>
    </row>
    <row r="409" spans="1:11">
      <c r="A409" s="339">
        <v>404</v>
      </c>
      <c r="B409" s="340"/>
      <c r="C409" s="340"/>
      <c r="D409" s="340"/>
      <c r="E409" s="340"/>
      <c r="F409" s="341"/>
      <c r="G409" s="341"/>
      <c r="H409" s="342"/>
      <c r="I409" s="340"/>
      <c r="J409" s="343"/>
      <c r="K409" s="344"/>
    </row>
    <row r="410" spans="1:11">
      <c r="A410" s="339">
        <v>405</v>
      </c>
      <c r="B410" s="340"/>
      <c r="C410" s="340"/>
      <c r="D410" s="340"/>
      <c r="E410" s="340"/>
      <c r="F410" s="341"/>
      <c r="G410" s="341"/>
      <c r="H410" s="342"/>
      <c r="I410" s="340"/>
      <c r="J410" s="343"/>
      <c r="K410" s="344"/>
    </row>
    <row r="411" spans="1:11">
      <c r="A411" s="339">
        <v>406</v>
      </c>
      <c r="B411" s="340"/>
      <c r="C411" s="340"/>
      <c r="D411" s="340"/>
      <c r="E411" s="340"/>
      <c r="F411" s="341"/>
      <c r="G411" s="341"/>
      <c r="H411" s="342"/>
      <c r="I411" s="340"/>
      <c r="J411" s="343"/>
      <c r="K411" s="344"/>
    </row>
    <row r="412" spans="1:11">
      <c r="A412" s="339">
        <v>407</v>
      </c>
      <c r="B412" s="340"/>
      <c r="C412" s="340"/>
      <c r="D412" s="340"/>
      <c r="E412" s="340"/>
      <c r="F412" s="341"/>
      <c r="G412" s="341"/>
      <c r="H412" s="342"/>
      <c r="I412" s="340"/>
      <c r="J412" s="343"/>
      <c r="K412" s="344"/>
    </row>
    <row r="413" spans="1:11">
      <c r="A413" s="339">
        <v>408</v>
      </c>
      <c r="B413" s="340"/>
      <c r="C413" s="340"/>
      <c r="D413" s="340"/>
      <c r="E413" s="340"/>
      <c r="F413" s="341"/>
      <c r="G413" s="341"/>
      <c r="H413" s="342"/>
      <c r="I413" s="340"/>
      <c r="J413" s="343"/>
      <c r="K413" s="344"/>
    </row>
    <row r="414" spans="1:11">
      <c r="A414" s="339">
        <v>409</v>
      </c>
      <c r="B414" s="340"/>
      <c r="C414" s="340"/>
      <c r="D414" s="340"/>
      <c r="E414" s="340"/>
      <c r="F414" s="341"/>
      <c r="G414" s="341"/>
      <c r="H414" s="342"/>
      <c r="I414" s="340"/>
      <c r="J414" s="343"/>
      <c r="K414" s="344"/>
    </row>
    <row r="415" spans="1:11">
      <c r="A415" s="339">
        <v>410</v>
      </c>
      <c r="B415" s="340"/>
      <c r="C415" s="340"/>
      <c r="D415" s="340"/>
      <c r="E415" s="340"/>
      <c r="F415" s="341"/>
      <c r="G415" s="341"/>
      <c r="H415" s="342"/>
      <c r="I415" s="340"/>
      <c r="J415" s="343"/>
      <c r="K415" s="344"/>
    </row>
    <row r="416" spans="1:11">
      <c r="A416" s="339">
        <v>411</v>
      </c>
      <c r="B416" s="340"/>
      <c r="C416" s="340"/>
      <c r="D416" s="340"/>
      <c r="E416" s="340"/>
      <c r="F416" s="341"/>
      <c r="G416" s="341"/>
      <c r="H416" s="342"/>
      <c r="I416" s="340"/>
      <c r="J416" s="343"/>
      <c r="K416" s="344"/>
    </row>
    <row r="417" spans="1:11">
      <c r="A417" s="339">
        <v>412</v>
      </c>
      <c r="B417" s="340"/>
      <c r="C417" s="340"/>
      <c r="D417" s="340"/>
      <c r="E417" s="340"/>
      <c r="F417" s="341"/>
      <c r="G417" s="341"/>
      <c r="H417" s="342"/>
      <c r="I417" s="340"/>
      <c r="J417" s="343"/>
      <c r="K417" s="344"/>
    </row>
    <row r="418" spans="1:11">
      <c r="A418" s="339">
        <v>413</v>
      </c>
      <c r="B418" s="340"/>
      <c r="C418" s="340"/>
      <c r="D418" s="340"/>
      <c r="E418" s="340"/>
      <c r="F418" s="341"/>
      <c r="G418" s="341"/>
      <c r="H418" s="342"/>
      <c r="I418" s="340"/>
      <c r="J418" s="343"/>
      <c r="K418" s="344"/>
    </row>
    <row r="419" spans="1:11">
      <c r="A419" s="339">
        <v>414</v>
      </c>
      <c r="B419" s="340"/>
      <c r="C419" s="340"/>
      <c r="D419" s="340"/>
      <c r="E419" s="340"/>
      <c r="F419" s="341"/>
      <c r="G419" s="341"/>
      <c r="H419" s="342"/>
      <c r="I419" s="340"/>
      <c r="J419" s="343"/>
      <c r="K419" s="344"/>
    </row>
    <row r="420" spans="1:11">
      <c r="A420" s="339">
        <v>415</v>
      </c>
      <c r="B420" s="340"/>
      <c r="C420" s="340"/>
      <c r="D420" s="340"/>
      <c r="E420" s="340"/>
      <c r="F420" s="341"/>
      <c r="G420" s="341"/>
      <c r="H420" s="342"/>
      <c r="I420" s="340"/>
      <c r="J420" s="343"/>
      <c r="K420" s="344"/>
    </row>
    <row r="421" spans="1:11">
      <c r="A421" s="339">
        <v>416</v>
      </c>
      <c r="B421" s="340"/>
      <c r="C421" s="340"/>
      <c r="D421" s="340"/>
      <c r="E421" s="340"/>
      <c r="F421" s="341"/>
      <c r="G421" s="341"/>
      <c r="H421" s="342"/>
      <c r="I421" s="340"/>
      <c r="J421" s="343"/>
      <c r="K421" s="344"/>
    </row>
    <row r="422" spans="1:11">
      <c r="A422" s="339">
        <v>417</v>
      </c>
      <c r="B422" s="340"/>
      <c r="C422" s="340"/>
      <c r="D422" s="340"/>
      <c r="E422" s="340"/>
      <c r="F422" s="341"/>
      <c r="G422" s="341"/>
      <c r="H422" s="342"/>
      <c r="I422" s="340"/>
      <c r="J422" s="343"/>
      <c r="K422" s="344"/>
    </row>
    <row r="423" spans="1:11">
      <c r="A423" s="339">
        <v>418</v>
      </c>
      <c r="B423" s="340"/>
      <c r="C423" s="340"/>
      <c r="D423" s="340"/>
      <c r="E423" s="340"/>
      <c r="F423" s="341"/>
      <c r="G423" s="341"/>
      <c r="H423" s="342"/>
      <c r="I423" s="340"/>
      <c r="J423" s="343"/>
      <c r="K423" s="344"/>
    </row>
    <row r="424" spans="1:11">
      <c r="A424" s="339">
        <v>419</v>
      </c>
      <c r="B424" s="340"/>
      <c r="C424" s="340"/>
      <c r="D424" s="340"/>
      <c r="E424" s="340"/>
      <c r="F424" s="341"/>
      <c r="G424" s="341"/>
      <c r="H424" s="342"/>
      <c r="I424" s="340"/>
      <c r="J424" s="343"/>
      <c r="K424" s="344"/>
    </row>
    <row r="425" spans="1:11">
      <c r="A425" s="339">
        <v>420</v>
      </c>
      <c r="B425" s="340"/>
      <c r="C425" s="340"/>
      <c r="D425" s="340"/>
      <c r="E425" s="340"/>
      <c r="F425" s="341"/>
      <c r="G425" s="341"/>
      <c r="H425" s="342"/>
      <c r="I425" s="340"/>
      <c r="J425" s="343"/>
      <c r="K425" s="344"/>
    </row>
    <row r="426" spans="1:11">
      <c r="A426" s="339">
        <v>421</v>
      </c>
      <c r="B426" s="340"/>
      <c r="C426" s="340"/>
      <c r="D426" s="340"/>
      <c r="E426" s="340"/>
      <c r="F426" s="341"/>
      <c r="G426" s="341"/>
      <c r="H426" s="342"/>
      <c r="I426" s="340"/>
      <c r="J426" s="343"/>
      <c r="K426" s="344"/>
    </row>
    <row r="427" spans="1:11">
      <c r="A427" s="339">
        <v>422</v>
      </c>
      <c r="B427" s="340"/>
      <c r="C427" s="340"/>
      <c r="D427" s="340"/>
      <c r="E427" s="340"/>
      <c r="F427" s="341"/>
      <c r="G427" s="341"/>
      <c r="H427" s="342"/>
      <c r="I427" s="340"/>
      <c r="J427" s="343"/>
      <c r="K427" s="344"/>
    </row>
    <row r="428" spans="1:11">
      <c r="A428" s="339">
        <v>423</v>
      </c>
      <c r="B428" s="340"/>
      <c r="C428" s="340"/>
      <c r="D428" s="340"/>
      <c r="E428" s="340"/>
      <c r="F428" s="341"/>
      <c r="G428" s="341"/>
      <c r="H428" s="342"/>
      <c r="I428" s="340"/>
      <c r="J428" s="343"/>
      <c r="K428" s="344"/>
    </row>
    <row r="429" spans="1:11">
      <c r="A429" s="339">
        <v>424</v>
      </c>
      <c r="B429" s="340"/>
      <c r="C429" s="340"/>
      <c r="D429" s="340"/>
      <c r="E429" s="340"/>
      <c r="F429" s="341"/>
      <c r="G429" s="341"/>
      <c r="H429" s="342"/>
      <c r="I429" s="340"/>
      <c r="J429" s="343"/>
      <c r="K429" s="344"/>
    </row>
    <row r="430" spans="1:11">
      <c r="A430" s="339">
        <v>425</v>
      </c>
      <c r="B430" s="340"/>
      <c r="C430" s="340"/>
      <c r="D430" s="340"/>
      <c r="E430" s="340"/>
      <c r="F430" s="341"/>
      <c r="G430" s="341"/>
      <c r="H430" s="342"/>
      <c r="I430" s="340"/>
      <c r="J430" s="343"/>
      <c r="K430" s="344"/>
    </row>
    <row r="431" spans="1:11">
      <c r="A431" s="339">
        <v>426</v>
      </c>
      <c r="B431" s="340"/>
      <c r="C431" s="340"/>
      <c r="D431" s="340"/>
      <c r="E431" s="340"/>
      <c r="F431" s="341"/>
      <c r="G431" s="341"/>
      <c r="H431" s="342"/>
      <c r="I431" s="340"/>
      <c r="J431" s="343"/>
      <c r="K431" s="344"/>
    </row>
    <row r="432" spans="1:11">
      <c r="A432" s="339">
        <v>427</v>
      </c>
      <c r="B432" s="340"/>
      <c r="C432" s="340"/>
      <c r="D432" s="340"/>
      <c r="E432" s="340"/>
      <c r="F432" s="341"/>
      <c r="G432" s="341"/>
      <c r="H432" s="342"/>
      <c r="I432" s="340"/>
      <c r="J432" s="343"/>
      <c r="K432" s="344"/>
    </row>
    <row r="433" spans="1:11">
      <c r="A433" s="339">
        <v>428</v>
      </c>
      <c r="B433" s="340"/>
      <c r="C433" s="340"/>
      <c r="D433" s="340"/>
      <c r="E433" s="340"/>
      <c r="F433" s="341"/>
      <c r="G433" s="341"/>
      <c r="H433" s="342"/>
      <c r="I433" s="340"/>
      <c r="J433" s="343"/>
      <c r="K433" s="344"/>
    </row>
    <row r="434" spans="1:11">
      <c r="A434" s="339">
        <v>429</v>
      </c>
      <c r="B434" s="340"/>
      <c r="C434" s="340"/>
      <c r="D434" s="340"/>
      <c r="E434" s="340"/>
      <c r="F434" s="341"/>
      <c r="G434" s="341"/>
      <c r="H434" s="342"/>
      <c r="I434" s="340"/>
      <c r="J434" s="343"/>
      <c r="K434" s="344"/>
    </row>
    <row r="435" spans="1:11">
      <c r="A435" s="339">
        <v>430</v>
      </c>
      <c r="B435" s="340"/>
      <c r="C435" s="340"/>
      <c r="D435" s="340"/>
      <c r="E435" s="340"/>
      <c r="F435" s="341"/>
      <c r="G435" s="341"/>
      <c r="H435" s="342"/>
      <c r="I435" s="340"/>
      <c r="J435" s="343"/>
      <c r="K435" s="344"/>
    </row>
    <row r="436" spans="1:11">
      <c r="A436" s="339">
        <v>431</v>
      </c>
      <c r="B436" s="340"/>
      <c r="C436" s="340"/>
      <c r="D436" s="340"/>
      <c r="E436" s="340"/>
      <c r="F436" s="341"/>
      <c r="G436" s="341"/>
      <c r="H436" s="342"/>
      <c r="I436" s="340"/>
      <c r="J436" s="343"/>
      <c r="K436" s="344"/>
    </row>
    <row r="437" spans="1:11">
      <c r="A437" s="339">
        <v>432</v>
      </c>
      <c r="B437" s="340"/>
      <c r="C437" s="340"/>
      <c r="D437" s="340"/>
      <c r="E437" s="340"/>
      <c r="F437" s="341"/>
      <c r="G437" s="341"/>
      <c r="H437" s="342"/>
      <c r="I437" s="340"/>
      <c r="J437" s="343"/>
      <c r="K437" s="344"/>
    </row>
    <row r="438" spans="1:11">
      <c r="A438" s="339">
        <v>433</v>
      </c>
      <c r="B438" s="340"/>
      <c r="C438" s="340"/>
      <c r="D438" s="340"/>
      <c r="E438" s="340"/>
      <c r="F438" s="341"/>
      <c r="G438" s="341"/>
      <c r="H438" s="342"/>
      <c r="I438" s="340"/>
      <c r="J438" s="343"/>
      <c r="K438" s="344"/>
    </row>
    <row r="439" spans="1:11">
      <c r="A439" s="339">
        <v>434</v>
      </c>
      <c r="B439" s="340"/>
      <c r="C439" s="340"/>
      <c r="D439" s="340"/>
      <c r="E439" s="340"/>
      <c r="F439" s="341"/>
      <c r="G439" s="341"/>
      <c r="H439" s="342"/>
      <c r="I439" s="340"/>
      <c r="J439" s="343"/>
      <c r="K439" s="344"/>
    </row>
    <row r="440" spans="1:11">
      <c r="A440" s="339">
        <v>435</v>
      </c>
      <c r="B440" s="340"/>
      <c r="C440" s="340"/>
      <c r="D440" s="340"/>
      <c r="E440" s="340"/>
      <c r="F440" s="341"/>
      <c r="G440" s="341"/>
      <c r="H440" s="342"/>
      <c r="I440" s="340"/>
      <c r="J440" s="343"/>
      <c r="K440" s="344"/>
    </row>
    <row r="441" spans="1:11">
      <c r="A441" s="339">
        <v>436</v>
      </c>
      <c r="B441" s="340"/>
      <c r="C441" s="340"/>
      <c r="D441" s="340"/>
      <c r="E441" s="340"/>
      <c r="F441" s="341"/>
      <c r="G441" s="341"/>
      <c r="H441" s="342"/>
      <c r="I441" s="340"/>
      <c r="J441" s="343"/>
      <c r="K441" s="344"/>
    </row>
    <row r="442" spans="1:11">
      <c r="A442" s="339">
        <v>437</v>
      </c>
      <c r="B442" s="340"/>
      <c r="C442" s="340"/>
      <c r="D442" s="340"/>
      <c r="E442" s="340"/>
      <c r="F442" s="341"/>
      <c r="G442" s="341"/>
      <c r="H442" s="342"/>
      <c r="I442" s="340"/>
      <c r="J442" s="343"/>
      <c r="K442" s="344"/>
    </row>
    <row r="443" spans="1:11">
      <c r="A443" s="339">
        <v>438</v>
      </c>
      <c r="B443" s="340"/>
      <c r="C443" s="340"/>
      <c r="D443" s="340"/>
      <c r="E443" s="340"/>
      <c r="F443" s="341"/>
      <c r="G443" s="341"/>
      <c r="H443" s="342"/>
      <c r="I443" s="340"/>
      <c r="J443" s="343"/>
      <c r="K443" s="344"/>
    </row>
    <row r="444" spans="1:11">
      <c r="A444" s="339">
        <v>439</v>
      </c>
      <c r="B444" s="340"/>
      <c r="C444" s="340"/>
      <c r="D444" s="340"/>
      <c r="E444" s="340"/>
      <c r="F444" s="341"/>
      <c r="G444" s="341"/>
      <c r="H444" s="342"/>
      <c r="I444" s="340"/>
      <c r="J444" s="343"/>
      <c r="K444" s="344"/>
    </row>
    <row r="445" spans="1:11">
      <c r="A445" s="339">
        <v>440</v>
      </c>
      <c r="B445" s="340"/>
      <c r="C445" s="340"/>
      <c r="D445" s="340"/>
      <c r="E445" s="340"/>
      <c r="F445" s="341"/>
      <c r="G445" s="341"/>
      <c r="H445" s="342"/>
      <c r="I445" s="340"/>
      <c r="J445" s="343"/>
      <c r="K445" s="344"/>
    </row>
    <row r="446" spans="1:11">
      <c r="A446" s="339">
        <v>441</v>
      </c>
      <c r="B446" s="340"/>
      <c r="C446" s="340"/>
      <c r="D446" s="340"/>
      <c r="E446" s="340"/>
      <c r="F446" s="341"/>
      <c r="G446" s="341"/>
      <c r="H446" s="342"/>
      <c r="I446" s="340"/>
      <c r="J446" s="343"/>
      <c r="K446" s="344"/>
    </row>
    <row r="447" spans="1:11">
      <c r="A447" s="339">
        <v>442</v>
      </c>
      <c r="B447" s="340"/>
      <c r="C447" s="340"/>
      <c r="D447" s="340"/>
      <c r="E447" s="340"/>
      <c r="F447" s="341"/>
      <c r="G447" s="341"/>
      <c r="H447" s="342"/>
      <c r="I447" s="340"/>
      <c r="J447" s="343"/>
      <c r="K447" s="344"/>
    </row>
    <row r="448" spans="1:11">
      <c r="A448" s="339">
        <v>443</v>
      </c>
      <c r="B448" s="340"/>
      <c r="C448" s="340"/>
      <c r="D448" s="340"/>
      <c r="E448" s="340"/>
      <c r="F448" s="341"/>
      <c r="G448" s="341"/>
      <c r="H448" s="342"/>
      <c r="I448" s="340"/>
      <c r="J448" s="343"/>
      <c r="K448" s="344"/>
    </row>
    <row r="449" spans="1:11">
      <c r="A449" s="339">
        <v>444</v>
      </c>
      <c r="B449" s="340"/>
      <c r="C449" s="340"/>
      <c r="D449" s="340"/>
      <c r="E449" s="340"/>
      <c r="F449" s="341"/>
      <c r="G449" s="341"/>
      <c r="H449" s="342"/>
      <c r="I449" s="340"/>
      <c r="J449" s="343"/>
      <c r="K449" s="344"/>
    </row>
    <row r="450" spans="1:11">
      <c r="A450" s="339">
        <v>445</v>
      </c>
      <c r="B450" s="340"/>
      <c r="C450" s="340"/>
      <c r="D450" s="340"/>
      <c r="E450" s="340"/>
      <c r="F450" s="341"/>
      <c r="G450" s="341"/>
      <c r="H450" s="342"/>
      <c r="I450" s="340"/>
      <c r="J450" s="343"/>
      <c r="K450" s="344"/>
    </row>
    <row r="451" spans="1:11">
      <c r="A451" s="339">
        <v>446</v>
      </c>
      <c r="B451" s="340"/>
      <c r="C451" s="340"/>
      <c r="D451" s="340"/>
      <c r="E451" s="340"/>
      <c r="F451" s="341"/>
      <c r="G451" s="341"/>
      <c r="H451" s="342"/>
      <c r="I451" s="340"/>
      <c r="J451" s="343"/>
      <c r="K451" s="344"/>
    </row>
    <row r="452" spans="1:11">
      <c r="A452" s="339">
        <v>447</v>
      </c>
      <c r="B452" s="340"/>
      <c r="C452" s="340"/>
      <c r="D452" s="340"/>
      <c r="E452" s="340"/>
      <c r="F452" s="341"/>
      <c r="G452" s="341"/>
      <c r="H452" s="342"/>
      <c r="I452" s="340"/>
      <c r="J452" s="343"/>
      <c r="K452" s="344"/>
    </row>
    <row r="453" spans="1:11">
      <c r="A453" s="339">
        <v>448</v>
      </c>
      <c r="B453" s="340"/>
      <c r="C453" s="340"/>
      <c r="D453" s="340"/>
      <c r="E453" s="340"/>
      <c r="F453" s="341"/>
      <c r="G453" s="341"/>
      <c r="H453" s="342"/>
      <c r="I453" s="340"/>
      <c r="J453" s="343"/>
      <c r="K453" s="344"/>
    </row>
    <row r="454" spans="1:11">
      <c r="A454" s="339">
        <v>449</v>
      </c>
      <c r="B454" s="340"/>
      <c r="C454" s="340"/>
      <c r="D454" s="340"/>
      <c r="E454" s="340"/>
      <c r="F454" s="341"/>
      <c r="G454" s="341"/>
      <c r="H454" s="342"/>
      <c r="I454" s="340"/>
      <c r="J454" s="343"/>
      <c r="K454" s="344"/>
    </row>
    <row r="455" spans="1:11">
      <c r="A455" s="339">
        <v>450</v>
      </c>
      <c r="B455" s="340"/>
      <c r="C455" s="340"/>
      <c r="D455" s="340"/>
      <c r="E455" s="340"/>
      <c r="F455" s="341"/>
      <c r="G455" s="341"/>
      <c r="H455" s="342"/>
      <c r="I455" s="340"/>
      <c r="J455" s="343"/>
      <c r="K455" s="344"/>
    </row>
    <row r="456" spans="1:11">
      <c r="A456" s="339">
        <v>451</v>
      </c>
      <c r="B456" s="340"/>
      <c r="C456" s="340"/>
      <c r="D456" s="340"/>
      <c r="E456" s="340"/>
      <c r="F456" s="341"/>
      <c r="G456" s="341"/>
      <c r="H456" s="342"/>
      <c r="I456" s="340"/>
      <c r="J456" s="343"/>
      <c r="K456" s="344"/>
    </row>
    <row r="457" spans="1:11">
      <c r="A457" s="339">
        <v>452</v>
      </c>
      <c r="B457" s="340"/>
      <c r="C457" s="340"/>
      <c r="D457" s="340"/>
      <c r="E457" s="340"/>
      <c r="F457" s="341"/>
      <c r="G457" s="341"/>
      <c r="H457" s="342"/>
      <c r="I457" s="340"/>
      <c r="J457" s="343"/>
      <c r="K457" s="344"/>
    </row>
    <row r="458" spans="1:11">
      <c r="A458" s="339">
        <v>453</v>
      </c>
      <c r="B458" s="340"/>
      <c r="C458" s="340"/>
      <c r="D458" s="340"/>
      <c r="E458" s="340"/>
      <c r="F458" s="341"/>
      <c r="G458" s="341"/>
      <c r="H458" s="342"/>
      <c r="I458" s="340"/>
      <c r="J458" s="343"/>
      <c r="K458" s="344"/>
    </row>
    <row r="459" spans="1:11">
      <c r="A459" s="339">
        <v>454</v>
      </c>
      <c r="B459" s="340"/>
      <c r="C459" s="340"/>
      <c r="D459" s="340"/>
      <c r="E459" s="340"/>
      <c r="F459" s="341"/>
      <c r="G459" s="341"/>
      <c r="H459" s="342"/>
      <c r="I459" s="340"/>
      <c r="J459" s="343"/>
      <c r="K459" s="344"/>
    </row>
    <row r="460" spans="1:11">
      <c r="A460" s="339">
        <v>455</v>
      </c>
      <c r="B460" s="340"/>
      <c r="C460" s="340"/>
      <c r="D460" s="340"/>
      <c r="E460" s="340"/>
      <c r="F460" s="341"/>
      <c r="G460" s="341"/>
      <c r="H460" s="342"/>
      <c r="I460" s="340"/>
      <c r="J460" s="343"/>
      <c r="K460" s="344"/>
    </row>
    <row r="461" spans="1:11">
      <c r="A461" s="339">
        <v>456</v>
      </c>
      <c r="B461" s="340"/>
      <c r="C461" s="340"/>
      <c r="D461" s="340"/>
      <c r="E461" s="340"/>
      <c r="F461" s="341"/>
      <c r="G461" s="341"/>
      <c r="H461" s="342"/>
      <c r="I461" s="340"/>
      <c r="J461" s="343"/>
      <c r="K461" s="344"/>
    </row>
    <row r="462" spans="1:11">
      <c r="A462" s="339">
        <v>457</v>
      </c>
      <c r="B462" s="340"/>
      <c r="C462" s="340"/>
      <c r="D462" s="340"/>
      <c r="E462" s="340"/>
      <c r="F462" s="341"/>
      <c r="G462" s="341"/>
      <c r="H462" s="342"/>
      <c r="I462" s="340"/>
      <c r="J462" s="343"/>
      <c r="K462" s="344"/>
    </row>
    <row r="463" spans="1:11">
      <c r="A463" s="339">
        <v>458</v>
      </c>
      <c r="B463" s="340"/>
      <c r="C463" s="340"/>
      <c r="D463" s="340"/>
      <c r="E463" s="340"/>
      <c r="F463" s="341"/>
      <c r="G463" s="341"/>
      <c r="H463" s="342"/>
      <c r="I463" s="340"/>
      <c r="J463" s="343"/>
      <c r="K463" s="344"/>
    </row>
    <row r="464" spans="1:11">
      <c r="A464" s="339">
        <v>459</v>
      </c>
      <c r="B464" s="340"/>
      <c r="C464" s="340"/>
      <c r="D464" s="340"/>
      <c r="E464" s="340"/>
      <c r="F464" s="341"/>
      <c r="G464" s="341"/>
      <c r="H464" s="342"/>
      <c r="I464" s="340"/>
      <c r="J464" s="343"/>
      <c r="K464" s="344"/>
    </row>
    <row r="465" spans="1:11">
      <c r="A465" s="339">
        <v>460</v>
      </c>
      <c r="B465" s="340"/>
      <c r="C465" s="340"/>
      <c r="D465" s="340"/>
      <c r="E465" s="340"/>
      <c r="F465" s="341"/>
      <c r="G465" s="341"/>
      <c r="H465" s="342"/>
      <c r="I465" s="340"/>
      <c r="J465" s="343"/>
      <c r="K465" s="344"/>
    </row>
    <row r="466" spans="1:11">
      <c r="A466" s="339">
        <v>461</v>
      </c>
      <c r="B466" s="340"/>
      <c r="C466" s="340"/>
      <c r="D466" s="340"/>
      <c r="E466" s="340"/>
      <c r="F466" s="341"/>
      <c r="G466" s="341"/>
      <c r="H466" s="342"/>
      <c r="I466" s="340"/>
      <c r="J466" s="343"/>
      <c r="K466" s="344"/>
    </row>
    <row r="467" spans="1:11">
      <c r="A467" s="339">
        <v>462</v>
      </c>
      <c r="B467" s="340"/>
      <c r="C467" s="340"/>
      <c r="D467" s="340"/>
      <c r="E467" s="340"/>
      <c r="F467" s="341"/>
      <c r="G467" s="341"/>
      <c r="H467" s="342"/>
      <c r="I467" s="340"/>
      <c r="J467" s="343"/>
      <c r="K467" s="344"/>
    </row>
    <row r="468" spans="1:11">
      <c r="A468" s="339">
        <v>463</v>
      </c>
      <c r="B468" s="340"/>
      <c r="C468" s="340"/>
      <c r="D468" s="340"/>
      <c r="E468" s="340"/>
      <c r="F468" s="341"/>
      <c r="G468" s="341"/>
      <c r="H468" s="342"/>
      <c r="I468" s="340"/>
      <c r="J468" s="343"/>
      <c r="K468" s="344"/>
    </row>
    <row r="469" spans="1:11">
      <c r="A469" s="339">
        <v>464</v>
      </c>
      <c r="B469" s="340"/>
      <c r="C469" s="340"/>
      <c r="D469" s="340"/>
      <c r="E469" s="340"/>
      <c r="F469" s="341"/>
      <c r="G469" s="341"/>
      <c r="H469" s="342"/>
      <c r="I469" s="340"/>
      <c r="J469" s="343"/>
      <c r="K469" s="344"/>
    </row>
    <row r="470" spans="1:11">
      <c r="A470" s="339">
        <v>465</v>
      </c>
      <c r="B470" s="340"/>
      <c r="C470" s="340"/>
      <c r="D470" s="340"/>
      <c r="E470" s="340"/>
      <c r="F470" s="341"/>
      <c r="G470" s="341"/>
      <c r="H470" s="342"/>
      <c r="I470" s="340"/>
      <c r="J470" s="343"/>
      <c r="K470" s="344"/>
    </row>
    <row r="471" spans="1:11">
      <c r="A471" s="339">
        <v>466</v>
      </c>
      <c r="B471" s="340"/>
      <c r="C471" s="340"/>
      <c r="D471" s="340"/>
      <c r="E471" s="340"/>
      <c r="F471" s="341"/>
      <c r="G471" s="341"/>
      <c r="H471" s="342"/>
      <c r="I471" s="340"/>
      <c r="J471" s="343"/>
      <c r="K471" s="344"/>
    </row>
    <row r="472" spans="1:11">
      <c r="A472" s="339">
        <v>467</v>
      </c>
      <c r="B472" s="340"/>
      <c r="C472" s="340"/>
      <c r="D472" s="340"/>
      <c r="E472" s="340"/>
      <c r="F472" s="341"/>
      <c r="G472" s="341"/>
      <c r="H472" s="342"/>
      <c r="I472" s="340"/>
      <c r="J472" s="343"/>
      <c r="K472" s="344"/>
    </row>
    <row r="473" spans="1:11">
      <c r="A473" s="339">
        <v>468</v>
      </c>
      <c r="B473" s="340"/>
      <c r="C473" s="340"/>
      <c r="D473" s="340"/>
      <c r="E473" s="340"/>
      <c r="F473" s="341"/>
      <c r="G473" s="341"/>
      <c r="H473" s="342"/>
      <c r="I473" s="340"/>
      <c r="J473" s="343"/>
      <c r="K473" s="344"/>
    </row>
    <row r="474" spans="1:11">
      <c r="A474" s="339">
        <v>469</v>
      </c>
      <c r="B474" s="340"/>
      <c r="C474" s="340"/>
      <c r="D474" s="340"/>
      <c r="E474" s="340"/>
      <c r="F474" s="341"/>
      <c r="G474" s="341"/>
      <c r="H474" s="342"/>
      <c r="I474" s="340"/>
      <c r="J474" s="343"/>
      <c r="K474" s="344"/>
    </row>
    <row r="475" spans="1:11">
      <c r="A475" s="339">
        <v>470</v>
      </c>
      <c r="B475" s="340"/>
      <c r="C475" s="340"/>
      <c r="D475" s="340"/>
      <c r="E475" s="340"/>
      <c r="F475" s="341"/>
      <c r="G475" s="341"/>
      <c r="H475" s="342"/>
      <c r="I475" s="340"/>
      <c r="J475" s="343"/>
      <c r="K475" s="344"/>
    </row>
    <row r="476" spans="1:11">
      <c r="A476" s="339">
        <v>471</v>
      </c>
      <c r="B476" s="340"/>
      <c r="C476" s="340"/>
      <c r="D476" s="340"/>
      <c r="E476" s="340"/>
      <c r="F476" s="341"/>
      <c r="G476" s="341"/>
      <c r="H476" s="342"/>
      <c r="I476" s="340"/>
      <c r="J476" s="343"/>
      <c r="K476" s="344"/>
    </row>
    <row r="477" spans="1:11">
      <c r="A477" s="339">
        <v>472</v>
      </c>
      <c r="B477" s="340"/>
      <c r="C477" s="340"/>
      <c r="D477" s="340"/>
      <c r="E477" s="340"/>
      <c r="F477" s="341"/>
      <c r="G477" s="341"/>
      <c r="H477" s="342"/>
      <c r="I477" s="340"/>
      <c r="J477" s="343"/>
      <c r="K477" s="344"/>
    </row>
    <row r="478" spans="1:11">
      <c r="A478" s="339">
        <v>473</v>
      </c>
      <c r="B478" s="340"/>
      <c r="C478" s="340"/>
      <c r="D478" s="340"/>
      <c r="E478" s="340"/>
      <c r="F478" s="341"/>
      <c r="G478" s="341"/>
      <c r="H478" s="342"/>
      <c r="I478" s="340"/>
      <c r="J478" s="343"/>
      <c r="K478" s="344"/>
    </row>
    <row r="479" spans="1:11">
      <c r="A479" s="339">
        <v>474</v>
      </c>
      <c r="B479" s="340"/>
      <c r="C479" s="340"/>
      <c r="D479" s="340"/>
      <c r="E479" s="340"/>
      <c r="F479" s="341"/>
      <c r="G479" s="341"/>
      <c r="H479" s="342"/>
      <c r="I479" s="340"/>
      <c r="J479" s="343"/>
      <c r="K479" s="344"/>
    </row>
    <row r="480" spans="1:11">
      <c r="A480" s="339">
        <v>475</v>
      </c>
      <c r="B480" s="340"/>
      <c r="C480" s="340"/>
      <c r="D480" s="340"/>
      <c r="E480" s="340"/>
      <c r="F480" s="341"/>
      <c r="G480" s="341"/>
      <c r="H480" s="342"/>
      <c r="I480" s="340"/>
      <c r="J480" s="343"/>
      <c r="K480" s="344"/>
    </row>
    <row r="481" spans="1:11">
      <c r="A481" s="339">
        <v>476</v>
      </c>
      <c r="B481" s="340"/>
      <c r="C481" s="340"/>
      <c r="D481" s="340"/>
      <c r="E481" s="340"/>
      <c r="F481" s="341"/>
      <c r="G481" s="341"/>
      <c r="H481" s="342"/>
      <c r="I481" s="340"/>
      <c r="J481" s="343"/>
      <c r="K481" s="344"/>
    </row>
    <row r="482" spans="1:11">
      <c r="A482" s="339">
        <v>477</v>
      </c>
      <c r="B482" s="340"/>
      <c r="C482" s="340"/>
      <c r="D482" s="340"/>
      <c r="E482" s="340"/>
      <c r="F482" s="341"/>
      <c r="G482" s="341"/>
      <c r="H482" s="342"/>
      <c r="I482" s="340"/>
      <c r="J482" s="343"/>
      <c r="K482" s="344"/>
    </row>
    <row r="483" spans="1:11">
      <c r="A483" s="339">
        <v>478</v>
      </c>
      <c r="B483" s="340"/>
      <c r="C483" s="340"/>
      <c r="D483" s="340"/>
      <c r="E483" s="340"/>
      <c r="F483" s="341"/>
      <c r="G483" s="341"/>
      <c r="H483" s="342"/>
      <c r="I483" s="340"/>
      <c r="J483" s="343"/>
      <c r="K483" s="344"/>
    </row>
    <row r="484" spans="1:11">
      <c r="A484" s="339">
        <v>479</v>
      </c>
      <c r="B484" s="340"/>
      <c r="C484" s="340"/>
      <c r="D484" s="340"/>
      <c r="E484" s="340"/>
      <c r="F484" s="341"/>
      <c r="G484" s="341"/>
      <c r="H484" s="342"/>
      <c r="I484" s="340"/>
      <c r="J484" s="343"/>
      <c r="K484" s="344"/>
    </row>
    <row r="485" spans="1:11">
      <c r="A485" s="339">
        <v>480</v>
      </c>
      <c r="B485" s="340"/>
      <c r="C485" s="340"/>
      <c r="D485" s="340"/>
      <c r="E485" s="340"/>
      <c r="F485" s="341"/>
      <c r="G485" s="341"/>
      <c r="H485" s="342"/>
      <c r="I485" s="340"/>
      <c r="J485" s="343"/>
      <c r="K485" s="344"/>
    </row>
    <row r="486" spans="1:11">
      <c r="A486" s="339">
        <v>481</v>
      </c>
      <c r="B486" s="340"/>
      <c r="C486" s="340"/>
      <c r="D486" s="340"/>
      <c r="E486" s="340"/>
      <c r="F486" s="341"/>
      <c r="G486" s="341"/>
      <c r="H486" s="342"/>
      <c r="I486" s="340"/>
      <c r="J486" s="343"/>
      <c r="K486" s="344"/>
    </row>
    <row r="487" spans="1:11">
      <c r="A487" s="339">
        <v>482</v>
      </c>
      <c r="B487" s="340"/>
      <c r="C487" s="340"/>
      <c r="D487" s="340"/>
      <c r="E487" s="340"/>
      <c r="F487" s="341"/>
      <c r="G487" s="341"/>
      <c r="H487" s="342"/>
      <c r="I487" s="340"/>
      <c r="J487" s="343"/>
      <c r="K487" s="344"/>
    </row>
    <row r="488" spans="1:11">
      <c r="A488" s="339">
        <v>483</v>
      </c>
      <c r="B488" s="340"/>
      <c r="C488" s="340"/>
      <c r="D488" s="340"/>
      <c r="E488" s="340"/>
      <c r="F488" s="341"/>
      <c r="G488" s="341"/>
      <c r="H488" s="342"/>
      <c r="I488" s="340"/>
      <c r="J488" s="343"/>
      <c r="K488" s="344"/>
    </row>
    <row r="489" spans="1:11">
      <c r="A489" s="339">
        <v>484</v>
      </c>
      <c r="B489" s="340"/>
      <c r="C489" s="340"/>
      <c r="D489" s="340"/>
      <c r="E489" s="340"/>
      <c r="F489" s="341"/>
      <c r="G489" s="341"/>
      <c r="H489" s="342"/>
      <c r="I489" s="340"/>
      <c r="J489" s="343"/>
      <c r="K489" s="344"/>
    </row>
    <row r="490" spans="1:11">
      <c r="A490" s="339">
        <v>485</v>
      </c>
      <c r="B490" s="340"/>
      <c r="C490" s="340"/>
      <c r="D490" s="340"/>
      <c r="E490" s="340"/>
      <c r="F490" s="341"/>
      <c r="G490" s="341"/>
      <c r="H490" s="342"/>
      <c r="I490" s="340"/>
      <c r="J490" s="343"/>
      <c r="K490" s="344"/>
    </row>
    <row r="491" spans="1:11">
      <c r="A491" s="339">
        <v>486</v>
      </c>
      <c r="B491" s="340"/>
      <c r="C491" s="340"/>
      <c r="D491" s="340"/>
      <c r="E491" s="340"/>
      <c r="F491" s="341"/>
      <c r="G491" s="341"/>
      <c r="H491" s="342"/>
      <c r="I491" s="340"/>
      <c r="J491" s="343"/>
      <c r="K491" s="344"/>
    </row>
    <row r="492" spans="1:11">
      <c r="A492" s="339">
        <v>487</v>
      </c>
      <c r="B492" s="340"/>
      <c r="C492" s="340"/>
      <c r="D492" s="340"/>
      <c r="E492" s="340"/>
      <c r="F492" s="341"/>
      <c r="G492" s="341"/>
      <c r="H492" s="342"/>
      <c r="I492" s="340"/>
      <c r="J492" s="343"/>
      <c r="K492" s="344"/>
    </row>
    <row r="493" spans="1:11">
      <c r="A493" s="339">
        <v>488</v>
      </c>
      <c r="B493" s="340"/>
      <c r="C493" s="340"/>
      <c r="D493" s="340"/>
      <c r="E493" s="340"/>
      <c r="F493" s="341"/>
      <c r="G493" s="341"/>
      <c r="H493" s="342"/>
      <c r="I493" s="340"/>
      <c r="J493" s="343"/>
      <c r="K493" s="344"/>
    </row>
    <row r="494" spans="1:11">
      <c r="A494" s="339">
        <v>489</v>
      </c>
      <c r="B494" s="340"/>
      <c r="C494" s="340"/>
      <c r="D494" s="340"/>
      <c r="E494" s="340"/>
      <c r="F494" s="341"/>
      <c r="G494" s="341"/>
      <c r="H494" s="342"/>
      <c r="I494" s="340"/>
      <c r="J494" s="343"/>
      <c r="K494" s="344"/>
    </row>
    <row r="495" spans="1:11">
      <c r="A495" s="339">
        <v>490</v>
      </c>
      <c r="B495" s="340"/>
      <c r="C495" s="340"/>
      <c r="D495" s="340"/>
      <c r="E495" s="340"/>
      <c r="F495" s="341"/>
      <c r="G495" s="341"/>
      <c r="H495" s="342"/>
      <c r="I495" s="340"/>
      <c r="J495" s="343"/>
      <c r="K495" s="344"/>
    </row>
    <row r="496" spans="1:11">
      <c r="A496" s="339">
        <v>491</v>
      </c>
      <c r="B496" s="340"/>
      <c r="C496" s="340"/>
      <c r="D496" s="340"/>
      <c r="E496" s="340"/>
      <c r="F496" s="341"/>
      <c r="G496" s="341"/>
      <c r="H496" s="342"/>
      <c r="I496" s="340"/>
      <c r="J496" s="343"/>
      <c r="K496" s="344"/>
    </row>
    <row r="497" spans="1:11">
      <c r="A497" s="339">
        <v>492</v>
      </c>
      <c r="B497" s="340"/>
      <c r="C497" s="340"/>
      <c r="D497" s="340"/>
      <c r="E497" s="340"/>
      <c r="F497" s="341"/>
      <c r="G497" s="341"/>
      <c r="H497" s="342"/>
      <c r="I497" s="340"/>
      <c r="J497" s="343"/>
      <c r="K497" s="344"/>
    </row>
    <row r="498" spans="1:11">
      <c r="A498" s="339">
        <v>493</v>
      </c>
      <c r="B498" s="340"/>
      <c r="C498" s="340"/>
      <c r="D498" s="340"/>
      <c r="E498" s="340"/>
      <c r="F498" s="341"/>
      <c r="G498" s="341"/>
      <c r="H498" s="342"/>
      <c r="I498" s="340"/>
      <c r="J498" s="343"/>
      <c r="K498" s="344"/>
    </row>
    <row r="499" spans="1:11">
      <c r="A499" s="339">
        <v>494</v>
      </c>
      <c r="B499" s="340"/>
      <c r="C499" s="340"/>
      <c r="D499" s="340"/>
      <c r="E499" s="340"/>
      <c r="F499" s="341"/>
      <c r="G499" s="341"/>
      <c r="H499" s="342"/>
      <c r="I499" s="340"/>
      <c r="J499" s="343"/>
      <c r="K499" s="344"/>
    </row>
    <row r="500" spans="1:11">
      <c r="A500" s="339">
        <v>495</v>
      </c>
      <c r="B500" s="340"/>
      <c r="C500" s="340"/>
      <c r="D500" s="340"/>
      <c r="E500" s="340"/>
      <c r="F500" s="341"/>
      <c r="G500" s="341"/>
      <c r="H500" s="342"/>
      <c r="I500" s="340"/>
      <c r="J500" s="343"/>
      <c r="K500" s="344"/>
    </row>
    <row r="501" spans="1:11">
      <c r="A501" s="339">
        <v>496</v>
      </c>
      <c r="B501" s="340"/>
      <c r="C501" s="340"/>
      <c r="D501" s="340"/>
      <c r="E501" s="340"/>
      <c r="F501" s="341"/>
      <c r="G501" s="341"/>
      <c r="H501" s="342"/>
      <c r="I501" s="340"/>
      <c r="J501" s="343"/>
      <c r="K501" s="344"/>
    </row>
    <row r="502" spans="1:11">
      <c r="A502" s="339">
        <v>497</v>
      </c>
      <c r="B502" s="340"/>
      <c r="C502" s="340"/>
      <c r="D502" s="340"/>
      <c r="E502" s="340"/>
      <c r="F502" s="341"/>
      <c r="G502" s="341"/>
      <c r="H502" s="342"/>
      <c r="I502" s="340"/>
      <c r="J502" s="343"/>
      <c r="K502" s="344"/>
    </row>
    <row r="503" spans="1:11">
      <c r="A503" s="339">
        <v>498</v>
      </c>
      <c r="B503" s="340"/>
      <c r="C503" s="340"/>
      <c r="D503" s="340"/>
      <c r="E503" s="340"/>
      <c r="F503" s="341"/>
      <c r="G503" s="341"/>
      <c r="H503" s="342"/>
      <c r="I503" s="340"/>
      <c r="J503" s="343"/>
      <c r="K503" s="344"/>
    </row>
    <row r="504" spans="1:11">
      <c r="A504" s="339">
        <v>499</v>
      </c>
      <c r="B504" s="340"/>
      <c r="C504" s="340"/>
      <c r="D504" s="340"/>
      <c r="E504" s="340"/>
      <c r="F504" s="341"/>
      <c r="G504" s="341"/>
      <c r="H504" s="342"/>
      <c r="I504" s="340"/>
      <c r="J504" s="343"/>
      <c r="K504" s="344"/>
    </row>
    <row r="505" spans="1:11">
      <c r="A505" s="339">
        <v>500</v>
      </c>
      <c r="B505" s="340"/>
      <c r="C505" s="340"/>
      <c r="D505" s="340"/>
      <c r="E505" s="340"/>
      <c r="F505" s="341"/>
      <c r="G505" s="341"/>
      <c r="H505" s="342"/>
      <c r="I505" s="340"/>
      <c r="J505" s="343"/>
      <c r="K505" s="344"/>
    </row>
    <row r="506" spans="1:11">
      <c r="A506" s="339">
        <v>501</v>
      </c>
      <c r="B506" s="340"/>
      <c r="C506" s="340"/>
      <c r="D506" s="340"/>
      <c r="E506" s="340"/>
      <c r="F506" s="341"/>
      <c r="G506" s="341"/>
      <c r="H506" s="342"/>
      <c r="I506" s="340"/>
      <c r="J506" s="343"/>
      <c r="K506" s="344"/>
    </row>
    <row r="507" spans="1:11">
      <c r="A507" s="339">
        <v>502</v>
      </c>
      <c r="B507" s="340"/>
      <c r="C507" s="340"/>
      <c r="D507" s="340"/>
      <c r="E507" s="340"/>
      <c r="F507" s="341"/>
      <c r="G507" s="341"/>
      <c r="H507" s="342"/>
      <c r="I507" s="340"/>
      <c r="J507" s="343"/>
      <c r="K507" s="344"/>
    </row>
    <row r="508" spans="1:11">
      <c r="A508" s="339">
        <v>503</v>
      </c>
      <c r="B508" s="340"/>
      <c r="C508" s="340"/>
      <c r="D508" s="340"/>
      <c r="E508" s="340"/>
      <c r="F508" s="341"/>
      <c r="G508" s="341"/>
      <c r="H508" s="342"/>
      <c r="I508" s="340"/>
      <c r="J508" s="343"/>
      <c r="K508" s="344"/>
    </row>
    <row r="509" spans="1:11">
      <c r="A509" s="339">
        <v>504</v>
      </c>
      <c r="B509" s="340"/>
      <c r="C509" s="340"/>
      <c r="D509" s="340"/>
      <c r="E509" s="340"/>
      <c r="F509" s="341"/>
      <c r="G509" s="341"/>
      <c r="H509" s="342"/>
      <c r="I509" s="340"/>
      <c r="J509" s="343"/>
      <c r="K509" s="344"/>
    </row>
    <row r="510" spans="1:11">
      <c r="A510" s="339">
        <v>505</v>
      </c>
      <c r="B510" s="340"/>
      <c r="C510" s="340"/>
      <c r="D510" s="340"/>
      <c r="E510" s="340"/>
      <c r="F510" s="341"/>
      <c r="G510" s="341"/>
      <c r="H510" s="342"/>
      <c r="I510" s="340"/>
      <c r="J510" s="343"/>
      <c r="K510" s="344"/>
    </row>
    <row r="511" spans="1:11">
      <c r="A511" s="339">
        <v>506</v>
      </c>
      <c r="B511" s="340"/>
      <c r="C511" s="340"/>
      <c r="D511" s="340"/>
      <c r="E511" s="340"/>
      <c r="F511" s="341"/>
      <c r="G511" s="341"/>
      <c r="H511" s="342"/>
      <c r="I511" s="340"/>
      <c r="J511" s="343"/>
      <c r="K511" s="344"/>
    </row>
    <row r="512" spans="1:11">
      <c r="A512" s="339">
        <v>507</v>
      </c>
      <c r="B512" s="340"/>
      <c r="C512" s="340"/>
      <c r="D512" s="340"/>
      <c r="E512" s="340"/>
      <c r="F512" s="341"/>
      <c r="G512" s="341"/>
      <c r="H512" s="342"/>
      <c r="I512" s="340"/>
      <c r="J512" s="343"/>
      <c r="K512" s="344"/>
    </row>
    <row r="513" spans="1:11">
      <c r="A513" s="339">
        <v>508</v>
      </c>
      <c r="B513" s="340"/>
      <c r="C513" s="340"/>
      <c r="D513" s="340"/>
      <c r="E513" s="340"/>
      <c r="F513" s="341"/>
      <c r="G513" s="341"/>
      <c r="H513" s="342"/>
      <c r="I513" s="340"/>
      <c r="J513" s="343"/>
      <c r="K513" s="344"/>
    </row>
    <row r="514" spans="1:11">
      <c r="A514" s="339">
        <v>509</v>
      </c>
      <c r="B514" s="340"/>
      <c r="C514" s="340"/>
      <c r="D514" s="340"/>
      <c r="E514" s="340"/>
      <c r="F514" s="341"/>
      <c r="G514" s="341"/>
      <c r="H514" s="342"/>
      <c r="I514" s="340"/>
      <c r="J514" s="343"/>
      <c r="K514" s="344"/>
    </row>
    <row r="515" spans="1:11">
      <c r="A515" s="339">
        <v>510</v>
      </c>
      <c r="B515" s="340"/>
      <c r="C515" s="340"/>
      <c r="D515" s="340"/>
      <c r="E515" s="340"/>
      <c r="F515" s="341"/>
      <c r="G515" s="341"/>
      <c r="H515" s="342"/>
      <c r="I515" s="340"/>
      <c r="J515" s="343"/>
      <c r="K515" s="344"/>
    </row>
    <row r="516" spans="1:11">
      <c r="A516" s="339">
        <v>511</v>
      </c>
      <c r="B516" s="340"/>
      <c r="C516" s="340"/>
      <c r="D516" s="340"/>
      <c r="E516" s="340"/>
      <c r="F516" s="341"/>
      <c r="G516" s="341"/>
      <c r="H516" s="342"/>
      <c r="I516" s="340"/>
      <c r="J516" s="343"/>
      <c r="K516" s="344"/>
    </row>
    <row r="517" spans="1:11">
      <c r="A517" s="339">
        <v>512</v>
      </c>
      <c r="B517" s="340"/>
      <c r="C517" s="340"/>
      <c r="D517" s="340"/>
      <c r="E517" s="340"/>
      <c r="F517" s="341"/>
      <c r="G517" s="341"/>
      <c r="H517" s="342"/>
      <c r="I517" s="340"/>
      <c r="J517" s="343"/>
      <c r="K517" s="344"/>
    </row>
    <row r="518" spans="1:11">
      <c r="A518" s="339">
        <v>513</v>
      </c>
      <c r="B518" s="340"/>
      <c r="C518" s="340"/>
      <c r="D518" s="340"/>
      <c r="E518" s="340"/>
      <c r="F518" s="341"/>
      <c r="G518" s="341"/>
      <c r="H518" s="342"/>
      <c r="I518" s="340"/>
      <c r="J518" s="343"/>
      <c r="K518" s="344"/>
    </row>
    <row r="519" spans="1:11">
      <c r="A519" s="339">
        <v>514</v>
      </c>
      <c r="B519" s="340"/>
      <c r="C519" s="340"/>
      <c r="D519" s="340"/>
      <c r="E519" s="340"/>
      <c r="F519" s="341"/>
      <c r="G519" s="341"/>
      <c r="H519" s="342"/>
      <c r="I519" s="340"/>
      <c r="J519" s="343"/>
      <c r="K519" s="344"/>
    </row>
    <row r="520" spans="1:11">
      <c r="A520" s="339">
        <v>515</v>
      </c>
      <c r="B520" s="340"/>
      <c r="C520" s="340"/>
      <c r="D520" s="340"/>
      <c r="E520" s="340"/>
      <c r="F520" s="341"/>
      <c r="G520" s="341"/>
      <c r="H520" s="342"/>
      <c r="I520" s="340"/>
      <c r="J520" s="343"/>
      <c r="K520" s="344"/>
    </row>
    <row r="521" spans="1:11">
      <c r="A521" s="339">
        <v>516</v>
      </c>
      <c r="B521" s="340"/>
      <c r="C521" s="340"/>
      <c r="D521" s="340"/>
      <c r="E521" s="340"/>
      <c r="F521" s="341"/>
      <c r="G521" s="341"/>
      <c r="H521" s="342"/>
      <c r="I521" s="340"/>
      <c r="J521" s="343"/>
      <c r="K521" s="344"/>
    </row>
    <row r="522" spans="1:11">
      <c r="A522" s="339">
        <v>517</v>
      </c>
      <c r="B522" s="340"/>
      <c r="C522" s="340"/>
      <c r="D522" s="340"/>
      <c r="E522" s="340"/>
      <c r="F522" s="341"/>
      <c r="G522" s="341"/>
      <c r="H522" s="342"/>
      <c r="I522" s="340"/>
      <c r="J522" s="343"/>
      <c r="K522" s="344"/>
    </row>
    <row r="523" spans="1:11">
      <c r="A523" s="339">
        <v>518</v>
      </c>
      <c r="B523" s="340"/>
      <c r="C523" s="340"/>
      <c r="D523" s="340"/>
      <c r="E523" s="340"/>
      <c r="F523" s="341"/>
      <c r="G523" s="341"/>
      <c r="H523" s="342"/>
      <c r="I523" s="340"/>
      <c r="J523" s="343"/>
      <c r="K523" s="344"/>
    </row>
    <row r="524" spans="1:11">
      <c r="A524" s="339">
        <v>519</v>
      </c>
      <c r="B524" s="340"/>
      <c r="C524" s="340"/>
      <c r="D524" s="340"/>
      <c r="E524" s="340"/>
      <c r="F524" s="341"/>
      <c r="G524" s="341"/>
      <c r="H524" s="342"/>
      <c r="I524" s="340"/>
      <c r="J524" s="343"/>
      <c r="K524" s="344"/>
    </row>
    <row r="525" spans="1:11">
      <c r="A525" s="339">
        <v>520</v>
      </c>
      <c r="B525" s="340"/>
      <c r="C525" s="340"/>
      <c r="D525" s="340"/>
      <c r="E525" s="340"/>
      <c r="F525" s="341"/>
      <c r="G525" s="341"/>
      <c r="H525" s="342"/>
      <c r="I525" s="340"/>
      <c r="J525" s="343"/>
      <c r="K525" s="344"/>
    </row>
    <row r="526" spans="1:11">
      <c r="A526" s="339">
        <v>521</v>
      </c>
      <c r="B526" s="340"/>
      <c r="C526" s="340"/>
      <c r="D526" s="340"/>
      <c r="E526" s="340"/>
      <c r="F526" s="341"/>
      <c r="G526" s="341"/>
      <c r="H526" s="342"/>
      <c r="I526" s="340"/>
      <c r="J526" s="343"/>
      <c r="K526" s="344"/>
    </row>
    <row r="527" spans="1:11">
      <c r="A527" s="339">
        <v>522</v>
      </c>
      <c r="B527" s="340"/>
      <c r="C527" s="340"/>
      <c r="D527" s="340"/>
      <c r="E527" s="340"/>
      <c r="F527" s="341"/>
      <c r="G527" s="341"/>
      <c r="H527" s="342"/>
      <c r="I527" s="340"/>
      <c r="J527" s="343"/>
      <c r="K527" s="344"/>
    </row>
    <row r="528" spans="1:11">
      <c r="A528" s="339">
        <v>523</v>
      </c>
      <c r="B528" s="340"/>
      <c r="C528" s="340"/>
      <c r="D528" s="340"/>
      <c r="E528" s="340"/>
      <c r="F528" s="341"/>
      <c r="G528" s="341"/>
      <c r="H528" s="342"/>
      <c r="I528" s="340"/>
      <c r="J528" s="343"/>
      <c r="K528" s="344"/>
    </row>
    <row r="529" spans="1:11">
      <c r="A529" s="339">
        <v>524</v>
      </c>
      <c r="B529" s="340"/>
      <c r="C529" s="340"/>
      <c r="D529" s="340"/>
      <c r="E529" s="340"/>
      <c r="F529" s="341"/>
      <c r="G529" s="341"/>
      <c r="H529" s="342"/>
      <c r="I529" s="340"/>
      <c r="J529" s="343"/>
      <c r="K529" s="344"/>
    </row>
    <row r="530" spans="1:11">
      <c r="A530" s="339">
        <v>525</v>
      </c>
      <c r="B530" s="340"/>
      <c r="C530" s="340"/>
      <c r="D530" s="340"/>
      <c r="E530" s="340"/>
      <c r="F530" s="341"/>
      <c r="G530" s="341"/>
      <c r="H530" s="342"/>
      <c r="I530" s="340"/>
      <c r="J530" s="343"/>
      <c r="K530" s="344"/>
    </row>
    <row r="531" spans="1:11">
      <c r="A531" s="339">
        <v>526</v>
      </c>
      <c r="B531" s="340"/>
      <c r="C531" s="340"/>
      <c r="D531" s="340"/>
      <c r="E531" s="340"/>
      <c r="F531" s="341"/>
      <c r="G531" s="341"/>
      <c r="H531" s="342"/>
      <c r="I531" s="340"/>
      <c r="J531" s="343"/>
      <c r="K531" s="344"/>
    </row>
    <row r="532" spans="1:11">
      <c r="A532" s="339">
        <v>527</v>
      </c>
      <c r="B532" s="340"/>
      <c r="C532" s="340"/>
      <c r="D532" s="340"/>
      <c r="E532" s="340"/>
      <c r="F532" s="341"/>
      <c r="G532" s="341"/>
      <c r="H532" s="342"/>
      <c r="I532" s="340"/>
      <c r="J532" s="343"/>
      <c r="K532" s="344"/>
    </row>
    <row r="533" spans="1:11">
      <c r="A533" s="339">
        <v>528</v>
      </c>
      <c r="B533" s="340"/>
      <c r="C533" s="340"/>
      <c r="D533" s="340"/>
      <c r="E533" s="340"/>
      <c r="F533" s="341"/>
      <c r="G533" s="341"/>
      <c r="H533" s="342"/>
      <c r="I533" s="340"/>
      <c r="J533" s="343"/>
      <c r="K533" s="344"/>
    </row>
    <row r="534" spans="1:11">
      <c r="A534" s="339">
        <v>529</v>
      </c>
      <c r="B534" s="340"/>
      <c r="C534" s="340"/>
      <c r="D534" s="340"/>
      <c r="E534" s="340"/>
      <c r="F534" s="341"/>
      <c r="G534" s="341"/>
      <c r="H534" s="342"/>
      <c r="I534" s="340"/>
      <c r="J534" s="343"/>
      <c r="K534" s="344"/>
    </row>
    <row r="535" spans="1:11">
      <c r="A535" s="339">
        <v>530</v>
      </c>
      <c r="B535" s="340"/>
      <c r="C535" s="340"/>
      <c r="D535" s="340"/>
      <c r="E535" s="340"/>
      <c r="F535" s="341"/>
      <c r="G535" s="341"/>
      <c r="H535" s="342"/>
      <c r="I535" s="340"/>
      <c r="J535" s="343"/>
      <c r="K535" s="344"/>
    </row>
    <row r="536" spans="1:11">
      <c r="A536" s="339">
        <v>531</v>
      </c>
      <c r="B536" s="340"/>
      <c r="C536" s="340"/>
      <c r="D536" s="340"/>
      <c r="E536" s="340"/>
      <c r="F536" s="341"/>
      <c r="G536" s="341"/>
      <c r="H536" s="342"/>
      <c r="I536" s="340"/>
      <c r="J536" s="343"/>
      <c r="K536" s="344"/>
    </row>
    <row r="537" spans="1:11">
      <c r="A537" s="339">
        <v>532</v>
      </c>
      <c r="B537" s="340"/>
      <c r="C537" s="340"/>
      <c r="D537" s="340"/>
      <c r="E537" s="340"/>
      <c r="F537" s="341"/>
      <c r="G537" s="341"/>
      <c r="H537" s="342"/>
      <c r="I537" s="340"/>
      <c r="J537" s="343"/>
      <c r="K537" s="344"/>
    </row>
    <row r="538" spans="1:11">
      <c r="A538" s="339">
        <v>533</v>
      </c>
      <c r="B538" s="340"/>
      <c r="C538" s="340"/>
      <c r="D538" s="340"/>
      <c r="E538" s="340"/>
      <c r="F538" s="341"/>
      <c r="G538" s="341"/>
      <c r="H538" s="342"/>
      <c r="I538" s="340"/>
      <c r="J538" s="343"/>
      <c r="K538" s="344"/>
    </row>
    <row r="539" spans="1:11">
      <c r="A539" s="339">
        <v>534</v>
      </c>
      <c r="B539" s="340"/>
      <c r="C539" s="340"/>
      <c r="D539" s="340"/>
      <c r="E539" s="340"/>
      <c r="F539" s="341"/>
      <c r="G539" s="341"/>
      <c r="H539" s="342"/>
      <c r="I539" s="340"/>
      <c r="J539" s="343"/>
      <c r="K539" s="344"/>
    </row>
    <row r="540" spans="1:11">
      <c r="A540" s="339">
        <v>535</v>
      </c>
      <c r="B540" s="340"/>
      <c r="C540" s="340"/>
      <c r="D540" s="340"/>
      <c r="E540" s="340"/>
      <c r="F540" s="341"/>
      <c r="G540" s="341"/>
      <c r="H540" s="342"/>
      <c r="I540" s="340"/>
      <c r="J540" s="343"/>
      <c r="K540" s="344"/>
    </row>
    <row r="541" spans="1:11">
      <c r="A541" s="339">
        <v>536</v>
      </c>
      <c r="B541" s="340"/>
      <c r="C541" s="340"/>
      <c r="D541" s="340"/>
      <c r="E541" s="340"/>
      <c r="F541" s="341"/>
      <c r="G541" s="341"/>
      <c r="H541" s="342"/>
      <c r="I541" s="340"/>
      <c r="J541" s="343"/>
      <c r="K541" s="344"/>
    </row>
    <row r="542" spans="1:11">
      <c r="A542" s="339">
        <v>537</v>
      </c>
      <c r="B542" s="340"/>
      <c r="C542" s="340"/>
      <c r="D542" s="340"/>
      <c r="E542" s="340"/>
      <c r="F542" s="341"/>
      <c r="G542" s="341"/>
      <c r="H542" s="342"/>
      <c r="I542" s="340"/>
      <c r="J542" s="343"/>
      <c r="K542" s="344"/>
    </row>
    <row r="543" spans="1:11">
      <c r="A543" s="339">
        <v>538</v>
      </c>
      <c r="B543" s="340"/>
      <c r="C543" s="340"/>
      <c r="D543" s="340"/>
      <c r="E543" s="340"/>
      <c r="F543" s="341"/>
      <c r="G543" s="341"/>
      <c r="H543" s="342"/>
      <c r="I543" s="340"/>
      <c r="J543" s="343"/>
      <c r="K543" s="344"/>
    </row>
    <row r="544" spans="1:11">
      <c r="A544" s="339">
        <v>539</v>
      </c>
      <c r="B544" s="340"/>
      <c r="C544" s="340"/>
      <c r="D544" s="340"/>
      <c r="E544" s="340"/>
      <c r="F544" s="341"/>
      <c r="G544" s="341"/>
      <c r="H544" s="342"/>
      <c r="I544" s="340"/>
      <c r="J544" s="343"/>
      <c r="K544" s="344"/>
    </row>
    <row r="545" spans="1:11">
      <c r="A545" s="339">
        <v>540</v>
      </c>
      <c r="B545" s="340"/>
      <c r="C545" s="340"/>
      <c r="D545" s="340"/>
      <c r="E545" s="340"/>
      <c r="F545" s="341"/>
      <c r="G545" s="341"/>
      <c r="H545" s="342"/>
      <c r="I545" s="340"/>
      <c r="J545" s="343"/>
      <c r="K545" s="344"/>
    </row>
    <row r="546" spans="1:11">
      <c r="A546" s="339">
        <v>541</v>
      </c>
      <c r="B546" s="340"/>
      <c r="C546" s="340"/>
      <c r="D546" s="340"/>
      <c r="E546" s="340"/>
      <c r="F546" s="341"/>
      <c r="G546" s="341"/>
      <c r="H546" s="342"/>
      <c r="I546" s="340"/>
      <c r="J546" s="343"/>
      <c r="K546" s="344"/>
    </row>
    <row r="547" spans="1:11">
      <c r="A547" s="339">
        <v>542</v>
      </c>
      <c r="B547" s="340"/>
      <c r="C547" s="340"/>
      <c r="D547" s="340"/>
      <c r="E547" s="340"/>
      <c r="F547" s="341"/>
      <c r="G547" s="341"/>
      <c r="H547" s="342"/>
      <c r="I547" s="340"/>
      <c r="J547" s="343"/>
      <c r="K547" s="344"/>
    </row>
    <row r="548" spans="1:11">
      <c r="A548" s="339">
        <v>543</v>
      </c>
      <c r="B548" s="340"/>
      <c r="C548" s="340"/>
      <c r="D548" s="340"/>
      <c r="E548" s="340"/>
      <c r="F548" s="341"/>
      <c r="G548" s="341"/>
      <c r="H548" s="342"/>
      <c r="I548" s="340"/>
      <c r="J548" s="343"/>
      <c r="K548" s="344"/>
    </row>
    <row r="549" spans="1:11">
      <c r="A549" s="339">
        <v>544</v>
      </c>
      <c r="B549" s="340"/>
      <c r="C549" s="340"/>
      <c r="D549" s="340"/>
      <c r="E549" s="340"/>
      <c r="F549" s="341"/>
      <c r="G549" s="341"/>
      <c r="H549" s="342"/>
      <c r="I549" s="340"/>
      <c r="J549" s="343"/>
      <c r="K549" s="344"/>
    </row>
    <row r="550" spans="1:11">
      <c r="A550" s="339">
        <v>545</v>
      </c>
      <c r="B550" s="340"/>
      <c r="C550" s="340"/>
      <c r="D550" s="340"/>
      <c r="E550" s="340"/>
      <c r="F550" s="341"/>
      <c r="G550" s="341"/>
      <c r="H550" s="342"/>
      <c r="I550" s="340"/>
      <c r="J550" s="343"/>
      <c r="K550" s="344"/>
    </row>
    <row r="551" spans="1:11">
      <c r="A551" s="339">
        <v>546</v>
      </c>
      <c r="B551" s="340"/>
      <c r="C551" s="340"/>
      <c r="D551" s="340"/>
      <c r="E551" s="340"/>
      <c r="F551" s="341"/>
      <c r="G551" s="341"/>
      <c r="H551" s="342"/>
      <c r="I551" s="340"/>
      <c r="J551" s="343"/>
      <c r="K551" s="344"/>
    </row>
    <row r="552" spans="1:11">
      <c r="A552" s="339">
        <v>547</v>
      </c>
      <c r="B552" s="340"/>
      <c r="C552" s="340"/>
      <c r="D552" s="340"/>
      <c r="E552" s="340"/>
      <c r="F552" s="341"/>
      <c r="G552" s="341"/>
      <c r="H552" s="342"/>
      <c r="I552" s="340"/>
      <c r="J552" s="343"/>
      <c r="K552" s="344"/>
    </row>
    <row r="553" spans="1:11">
      <c r="A553" s="339">
        <v>548</v>
      </c>
      <c r="B553" s="340"/>
      <c r="C553" s="340"/>
      <c r="D553" s="340"/>
      <c r="E553" s="340"/>
      <c r="F553" s="341"/>
      <c r="G553" s="341"/>
      <c r="H553" s="342"/>
      <c r="I553" s="340"/>
      <c r="J553" s="343"/>
      <c r="K553" s="344"/>
    </row>
    <row r="554" spans="1:11">
      <c r="A554" s="339">
        <v>549</v>
      </c>
      <c r="B554" s="340"/>
      <c r="C554" s="340"/>
      <c r="D554" s="340"/>
      <c r="E554" s="340"/>
      <c r="F554" s="341"/>
      <c r="G554" s="341"/>
      <c r="H554" s="342"/>
      <c r="I554" s="340"/>
      <c r="J554" s="343"/>
      <c r="K554" s="344"/>
    </row>
    <row r="555" spans="1:11">
      <c r="A555" s="339">
        <v>550</v>
      </c>
      <c r="B555" s="340"/>
      <c r="C555" s="340"/>
      <c r="D555" s="340"/>
      <c r="E555" s="340"/>
      <c r="F555" s="341"/>
      <c r="G555" s="341"/>
      <c r="H555" s="342"/>
      <c r="I555" s="340"/>
      <c r="J555" s="343"/>
      <c r="K555" s="344"/>
    </row>
    <row r="556" spans="1:11">
      <c r="A556" s="339">
        <v>551</v>
      </c>
      <c r="B556" s="340"/>
      <c r="C556" s="340"/>
      <c r="D556" s="340"/>
      <c r="E556" s="340"/>
      <c r="F556" s="341"/>
      <c r="G556" s="341"/>
      <c r="H556" s="342"/>
      <c r="I556" s="340"/>
      <c r="J556" s="343"/>
      <c r="K556" s="344"/>
    </row>
    <row r="557" spans="1:11">
      <c r="A557" s="339">
        <v>552</v>
      </c>
      <c r="B557" s="340"/>
      <c r="C557" s="340"/>
      <c r="D557" s="340"/>
      <c r="E557" s="340"/>
      <c r="F557" s="341"/>
      <c r="G557" s="341"/>
      <c r="H557" s="342"/>
      <c r="I557" s="340"/>
      <c r="J557" s="343"/>
      <c r="K557" s="344"/>
    </row>
    <row r="558" spans="1:11">
      <c r="A558" s="339">
        <v>553</v>
      </c>
      <c r="B558" s="340"/>
      <c r="C558" s="340"/>
      <c r="D558" s="340"/>
      <c r="E558" s="340"/>
      <c r="F558" s="341"/>
      <c r="G558" s="341"/>
      <c r="H558" s="342"/>
      <c r="I558" s="340"/>
      <c r="J558" s="343"/>
      <c r="K558" s="344"/>
    </row>
    <row r="559" spans="1:11">
      <c r="A559" s="339">
        <v>554</v>
      </c>
      <c r="B559" s="340"/>
      <c r="C559" s="340"/>
      <c r="D559" s="340"/>
      <c r="E559" s="340"/>
      <c r="F559" s="341"/>
      <c r="G559" s="341"/>
      <c r="H559" s="342"/>
      <c r="I559" s="340"/>
      <c r="J559" s="343"/>
      <c r="K559" s="344"/>
    </row>
    <row r="560" spans="1:11">
      <c r="A560" s="339">
        <v>555</v>
      </c>
      <c r="B560" s="340"/>
      <c r="C560" s="340"/>
      <c r="D560" s="340"/>
      <c r="E560" s="340"/>
      <c r="F560" s="341"/>
      <c r="G560" s="341"/>
      <c r="H560" s="342"/>
      <c r="I560" s="340"/>
      <c r="J560" s="343"/>
      <c r="K560" s="344"/>
    </row>
    <row r="561" spans="1:11">
      <c r="A561" s="339">
        <v>556</v>
      </c>
      <c r="B561" s="340"/>
      <c r="C561" s="340"/>
      <c r="D561" s="340"/>
      <c r="E561" s="340"/>
      <c r="F561" s="341"/>
      <c r="G561" s="341"/>
      <c r="H561" s="342"/>
      <c r="I561" s="340"/>
      <c r="J561" s="343"/>
      <c r="K561" s="344"/>
    </row>
    <row r="562" spans="1:11">
      <c r="A562" s="339">
        <v>557</v>
      </c>
      <c r="B562" s="340"/>
      <c r="C562" s="340"/>
      <c r="D562" s="340"/>
      <c r="E562" s="340"/>
      <c r="F562" s="341"/>
      <c r="G562" s="341"/>
      <c r="H562" s="342"/>
      <c r="I562" s="340"/>
      <c r="J562" s="343"/>
      <c r="K562" s="344"/>
    </row>
    <row r="563" spans="1:11">
      <c r="A563" s="339">
        <v>558</v>
      </c>
      <c r="B563" s="340"/>
      <c r="C563" s="340"/>
      <c r="D563" s="340"/>
      <c r="E563" s="340"/>
      <c r="F563" s="341"/>
      <c r="G563" s="341"/>
      <c r="H563" s="342"/>
      <c r="I563" s="340"/>
      <c r="J563" s="343"/>
      <c r="K563" s="344"/>
    </row>
    <row r="564" spans="1:11">
      <c r="A564" s="339">
        <v>559</v>
      </c>
      <c r="B564" s="340"/>
      <c r="C564" s="340"/>
      <c r="D564" s="340"/>
      <c r="E564" s="340"/>
      <c r="F564" s="341"/>
      <c r="G564" s="341"/>
      <c r="H564" s="342"/>
      <c r="I564" s="340"/>
      <c r="J564" s="343"/>
      <c r="K564" s="344"/>
    </row>
    <row r="565" spans="1:11">
      <c r="A565" s="339">
        <v>560</v>
      </c>
      <c r="B565" s="340"/>
      <c r="C565" s="340"/>
      <c r="D565" s="340"/>
      <c r="E565" s="340"/>
      <c r="F565" s="341"/>
      <c r="G565" s="341"/>
      <c r="H565" s="342"/>
      <c r="I565" s="340"/>
      <c r="J565" s="343"/>
      <c r="K565" s="344"/>
    </row>
    <row r="566" spans="1:11">
      <c r="A566" s="339">
        <v>561</v>
      </c>
      <c r="B566" s="340"/>
      <c r="C566" s="340"/>
      <c r="D566" s="340"/>
      <c r="E566" s="340"/>
      <c r="F566" s="341"/>
      <c r="G566" s="341"/>
      <c r="H566" s="342"/>
      <c r="I566" s="340"/>
      <c r="J566" s="343"/>
      <c r="K566" s="344"/>
    </row>
    <row r="567" spans="1:11">
      <c r="A567" s="339">
        <v>562</v>
      </c>
      <c r="B567" s="340"/>
      <c r="C567" s="340"/>
      <c r="D567" s="340"/>
      <c r="E567" s="340"/>
      <c r="F567" s="341"/>
      <c r="G567" s="341"/>
      <c r="H567" s="342"/>
      <c r="I567" s="340"/>
      <c r="J567" s="343"/>
      <c r="K567" s="344"/>
    </row>
    <row r="568" spans="1:11">
      <c r="A568" s="339">
        <v>563</v>
      </c>
      <c r="B568" s="340"/>
      <c r="C568" s="340"/>
      <c r="D568" s="340"/>
      <c r="E568" s="340"/>
      <c r="F568" s="341"/>
      <c r="G568" s="341"/>
      <c r="H568" s="342"/>
      <c r="I568" s="340"/>
      <c r="J568" s="343"/>
      <c r="K568" s="344"/>
    </row>
    <row r="569" spans="1:11">
      <c r="A569" s="339">
        <v>564</v>
      </c>
      <c r="B569" s="340"/>
      <c r="C569" s="340"/>
      <c r="D569" s="340"/>
      <c r="E569" s="340"/>
      <c r="F569" s="341"/>
      <c r="G569" s="341"/>
      <c r="H569" s="342"/>
      <c r="I569" s="340"/>
      <c r="J569" s="343"/>
      <c r="K569" s="344"/>
    </row>
    <row r="570" spans="1:11">
      <c r="A570" s="339">
        <v>565</v>
      </c>
      <c r="B570" s="340"/>
      <c r="C570" s="340"/>
      <c r="D570" s="340"/>
      <c r="E570" s="340"/>
      <c r="F570" s="341"/>
      <c r="G570" s="341"/>
      <c r="H570" s="342"/>
      <c r="I570" s="340"/>
      <c r="J570" s="343"/>
      <c r="K570" s="344"/>
    </row>
    <row r="571" spans="1:11">
      <c r="A571" s="339">
        <v>566</v>
      </c>
      <c r="B571" s="340"/>
      <c r="C571" s="340"/>
      <c r="D571" s="340"/>
      <c r="E571" s="340"/>
      <c r="F571" s="341"/>
      <c r="G571" s="341"/>
      <c r="H571" s="342"/>
      <c r="I571" s="340"/>
      <c r="J571" s="343"/>
      <c r="K571" s="344"/>
    </row>
    <row r="572" spans="1:11">
      <c r="A572" s="339">
        <v>567</v>
      </c>
      <c r="B572" s="340"/>
      <c r="C572" s="340"/>
      <c r="D572" s="340"/>
      <c r="E572" s="340"/>
      <c r="F572" s="341"/>
      <c r="G572" s="341"/>
      <c r="H572" s="342"/>
      <c r="I572" s="340"/>
      <c r="J572" s="343"/>
      <c r="K572" s="344"/>
    </row>
    <row r="573" spans="1:11">
      <c r="A573" s="339">
        <v>568</v>
      </c>
      <c r="B573" s="340"/>
      <c r="C573" s="340"/>
      <c r="D573" s="340"/>
      <c r="E573" s="340"/>
      <c r="F573" s="341"/>
      <c r="G573" s="341"/>
      <c r="H573" s="342"/>
      <c r="I573" s="340"/>
      <c r="J573" s="343"/>
      <c r="K573" s="344"/>
    </row>
    <row r="574" spans="1:11">
      <c r="A574" s="339">
        <v>569</v>
      </c>
      <c r="B574" s="340"/>
      <c r="C574" s="340"/>
      <c r="D574" s="340"/>
      <c r="E574" s="340"/>
      <c r="F574" s="341"/>
      <c r="G574" s="341"/>
      <c r="H574" s="342"/>
      <c r="I574" s="340"/>
      <c r="J574" s="343"/>
      <c r="K574" s="344"/>
    </row>
    <row r="575" spans="1:11">
      <c r="A575" s="339">
        <v>570</v>
      </c>
      <c r="B575" s="340"/>
      <c r="C575" s="340"/>
      <c r="D575" s="340"/>
      <c r="E575" s="340"/>
      <c r="F575" s="341"/>
      <c r="G575" s="341"/>
      <c r="H575" s="342"/>
      <c r="I575" s="340"/>
      <c r="J575" s="343"/>
      <c r="K575" s="344"/>
    </row>
    <row r="576" spans="1:11">
      <c r="A576" s="339">
        <v>571</v>
      </c>
      <c r="B576" s="340"/>
      <c r="C576" s="340"/>
      <c r="D576" s="340"/>
      <c r="E576" s="340"/>
      <c r="F576" s="341"/>
      <c r="G576" s="341"/>
      <c r="H576" s="342"/>
      <c r="I576" s="340"/>
      <c r="J576" s="343"/>
      <c r="K576" s="344"/>
    </row>
    <row r="577" spans="1:11">
      <c r="A577" s="339">
        <v>572</v>
      </c>
      <c r="B577" s="340"/>
      <c r="C577" s="340"/>
      <c r="D577" s="340"/>
      <c r="E577" s="340"/>
      <c r="F577" s="341"/>
      <c r="G577" s="341"/>
      <c r="H577" s="342"/>
      <c r="I577" s="340"/>
      <c r="J577" s="343"/>
      <c r="K577" s="344"/>
    </row>
    <row r="578" spans="1:11">
      <c r="A578" s="339">
        <v>573</v>
      </c>
      <c r="B578" s="340"/>
      <c r="C578" s="340"/>
      <c r="D578" s="340"/>
      <c r="E578" s="340"/>
      <c r="F578" s="341"/>
      <c r="G578" s="341"/>
      <c r="H578" s="342"/>
      <c r="I578" s="340"/>
      <c r="J578" s="343"/>
      <c r="K578" s="344"/>
    </row>
    <row r="579" spans="1:11">
      <c r="A579" s="339">
        <v>574</v>
      </c>
      <c r="B579" s="340"/>
      <c r="C579" s="340"/>
      <c r="D579" s="340"/>
      <c r="E579" s="340"/>
      <c r="F579" s="341"/>
      <c r="G579" s="341"/>
      <c r="H579" s="342"/>
      <c r="I579" s="340"/>
      <c r="J579" s="343"/>
      <c r="K579" s="344"/>
    </row>
    <row r="580" spans="1:11">
      <c r="A580" s="339">
        <v>575</v>
      </c>
      <c r="B580" s="340"/>
      <c r="C580" s="340"/>
      <c r="D580" s="340"/>
      <c r="E580" s="340"/>
      <c r="F580" s="341"/>
      <c r="G580" s="341"/>
      <c r="H580" s="342"/>
      <c r="I580" s="340"/>
      <c r="J580" s="343"/>
      <c r="K580" s="344"/>
    </row>
    <row r="581" spans="1:11">
      <c r="A581" s="339">
        <v>576</v>
      </c>
      <c r="B581" s="340"/>
      <c r="C581" s="340"/>
      <c r="D581" s="340"/>
      <c r="E581" s="340"/>
      <c r="F581" s="341"/>
      <c r="G581" s="341"/>
      <c r="H581" s="342"/>
      <c r="I581" s="340"/>
      <c r="J581" s="343"/>
      <c r="K581" s="344"/>
    </row>
    <row r="582" spans="1:11">
      <c r="A582" s="339">
        <v>577</v>
      </c>
      <c r="B582" s="340"/>
      <c r="C582" s="340"/>
      <c r="D582" s="340"/>
      <c r="E582" s="340"/>
      <c r="F582" s="341"/>
      <c r="G582" s="341"/>
      <c r="H582" s="342"/>
      <c r="I582" s="340"/>
      <c r="J582" s="343"/>
      <c r="K582" s="344"/>
    </row>
    <row r="583" spans="1:11">
      <c r="A583" s="339">
        <v>578</v>
      </c>
      <c r="B583" s="340"/>
      <c r="C583" s="340"/>
      <c r="D583" s="340"/>
      <c r="E583" s="340"/>
      <c r="F583" s="341"/>
      <c r="G583" s="341"/>
      <c r="H583" s="342"/>
      <c r="I583" s="340"/>
      <c r="J583" s="343"/>
      <c r="K583" s="344"/>
    </row>
    <row r="584" spans="1:11">
      <c r="A584" s="339">
        <v>579</v>
      </c>
      <c r="B584" s="340"/>
      <c r="C584" s="340"/>
      <c r="D584" s="340"/>
      <c r="E584" s="340"/>
      <c r="F584" s="341"/>
      <c r="G584" s="341"/>
      <c r="H584" s="342"/>
      <c r="I584" s="340"/>
      <c r="J584" s="343"/>
      <c r="K584" s="344"/>
    </row>
    <row r="585" spans="1:11">
      <c r="A585" s="339">
        <v>580</v>
      </c>
      <c r="B585" s="340"/>
      <c r="C585" s="340"/>
      <c r="D585" s="340"/>
      <c r="E585" s="340"/>
      <c r="F585" s="341"/>
      <c r="G585" s="341"/>
      <c r="H585" s="342"/>
      <c r="I585" s="340"/>
      <c r="J585" s="343"/>
      <c r="K585" s="344"/>
    </row>
    <row r="586" spans="1:11">
      <c r="A586" s="339">
        <v>581</v>
      </c>
      <c r="B586" s="340"/>
      <c r="C586" s="340"/>
      <c r="D586" s="340"/>
      <c r="E586" s="340"/>
      <c r="F586" s="341"/>
      <c r="G586" s="341"/>
      <c r="H586" s="342"/>
      <c r="I586" s="340"/>
      <c r="J586" s="343"/>
      <c r="K586" s="344"/>
    </row>
    <row r="587" spans="1:11">
      <c r="A587" s="339">
        <v>582</v>
      </c>
      <c r="B587" s="340"/>
      <c r="C587" s="340"/>
      <c r="D587" s="340"/>
      <c r="E587" s="340"/>
      <c r="F587" s="341"/>
      <c r="G587" s="341"/>
      <c r="H587" s="342"/>
      <c r="I587" s="340"/>
      <c r="J587" s="343"/>
      <c r="K587" s="344"/>
    </row>
    <row r="588" spans="1:11">
      <c r="A588" s="339">
        <v>583</v>
      </c>
      <c r="B588" s="340"/>
      <c r="C588" s="340"/>
      <c r="D588" s="340"/>
      <c r="E588" s="340"/>
      <c r="F588" s="341"/>
      <c r="G588" s="341"/>
      <c r="H588" s="342"/>
      <c r="I588" s="340"/>
      <c r="J588" s="343"/>
      <c r="K588" s="344"/>
    </row>
    <row r="589" spans="1:11">
      <c r="A589" s="339">
        <v>584</v>
      </c>
      <c r="B589" s="340"/>
      <c r="C589" s="340"/>
      <c r="D589" s="340"/>
      <c r="E589" s="340"/>
      <c r="F589" s="341"/>
      <c r="G589" s="341"/>
      <c r="H589" s="342"/>
      <c r="I589" s="340"/>
      <c r="J589" s="343"/>
      <c r="K589" s="344"/>
    </row>
    <row r="590" spans="1:11">
      <c r="A590" s="339">
        <v>585</v>
      </c>
      <c r="B590" s="340"/>
      <c r="C590" s="340"/>
      <c r="D590" s="340"/>
      <c r="E590" s="340"/>
      <c r="F590" s="341"/>
      <c r="G590" s="341"/>
      <c r="H590" s="342"/>
      <c r="I590" s="340"/>
      <c r="J590" s="343"/>
      <c r="K590" s="344"/>
    </row>
    <row r="591" spans="1:11">
      <c r="A591" s="339">
        <v>586</v>
      </c>
      <c r="B591" s="340"/>
      <c r="C591" s="340"/>
      <c r="D591" s="340"/>
      <c r="E591" s="340"/>
      <c r="F591" s="341"/>
      <c r="G591" s="341"/>
      <c r="H591" s="342"/>
      <c r="I591" s="340"/>
      <c r="J591" s="343"/>
      <c r="K591" s="344"/>
    </row>
    <row r="592" spans="1:11">
      <c r="A592" s="339">
        <v>587</v>
      </c>
      <c r="B592" s="340"/>
      <c r="C592" s="340"/>
      <c r="D592" s="340"/>
      <c r="E592" s="340"/>
      <c r="F592" s="341"/>
      <c r="G592" s="341"/>
      <c r="H592" s="342"/>
      <c r="I592" s="340"/>
      <c r="J592" s="343"/>
      <c r="K592" s="344"/>
    </row>
    <row r="593" spans="1:11">
      <c r="A593" s="339">
        <v>588</v>
      </c>
      <c r="B593" s="340"/>
      <c r="C593" s="340"/>
      <c r="D593" s="340"/>
      <c r="E593" s="340"/>
      <c r="F593" s="341"/>
      <c r="G593" s="341"/>
      <c r="H593" s="342"/>
      <c r="I593" s="340"/>
      <c r="J593" s="343"/>
      <c r="K593" s="344"/>
    </row>
    <row r="594" spans="1:11">
      <c r="A594" s="339">
        <v>589</v>
      </c>
      <c r="B594" s="340"/>
      <c r="C594" s="340"/>
      <c r="D594" s="340"/>
      <c r="E594" s="340"/>
      <c r="F594" s="341"/>
      <c r="G594" s="341"/>
      <c r="H594" s="342"/>
      <c r="I594" s="340"/>
      <c r="J594" s="343"/>
      <c r="K594" s="344"/>
    </row>
    <row r="595" spans="1:11">
      <c r="A595" s="339">
        <v>590</v>
      </c>
      <c r="B595" s="340"/>
      <c r="C595" s="340"/>
      <c r="D595" s="340"/>
      <c r="E595" s="340"/>
      <c r="F595" s="341"/>
      <c r="G595" s="341"/>
      <c r="H595" s="342"/>
      <c r="I595" s="340"/>
      <c r="J595" s="343"/>
      <c r="K595" s="344"/>
    </row>
    <row r="596" spans="1:11">
      <c r="A596" s="339">
        <v>591</v>
      </c>
      <c r="B596" s="340"/>
      <c r="C596" s="340"/>
      <c r="D596" s="340"/>
      <c r="E596" s="340"/>
      <c r="F596" s="341"/>
      <c r="G596" s="341"/>
      <c r="H596" s="342"/>
      <c r="I596" s="340"/>
      <c r="J596" s="343"/>
      <c r="K596" s="344"/>
    </row>
    <row r="597" spans="1:11">
      <c r="A597" s="339">
        <v>592</v>
      </c>
      <c r="B597" s="340"/>
      <c r="C597" s="340"/>
      <c r="D597" s="340"/>
      <c r="E597" s="340"/>
      <c r="F597" s="341"/>
      <c r="G597" s="341"/>
      <c r="H597" s="342"/>
      <c r="I597" s="340"/>
      <c r="J597" s="343"/>
      <c r="K597" s="344"/>
    </row>
    <row r="598" spans="1:11">
      <c r="A598" s="339">
        <v>593</v>
      </c>
      <c r="B598" s="340"/>
      <c r="C598" s="340"/>
      <c r="D598" s="340"/>
      <c r="E598" s="340"/>
      <c r="F598" s="341"/>
      <c r="G598" s="341"/>
      <c r="H598" s="342"/>
      <c r="I598" s="340"/>
      <c r="J598" s="343"/>
      <c r="K598" s="344"/>
    </row>
    <row r="599" spans="1:11">
      <c r="A599" s="339">
        <v>594</v>
      </c>
      <c r="B599" s="340"/>
      <c r="C599" s="340"/>
      <c r="D599" s="340"/>
      <c r="E599" s="340"/>
      <c r="F599" s="341"/>
      <c r="G599" s="341"/>
      <c r="H599" s="342"/>
      <c r="I599" s="340"/>
      <c r="J599" s="343"/>
      <c r="K599" s="344"/>
    </row>
    <row r="600" spans="1:11">
      <c r="A600" s="339">
        <v>595</v>
      </c>
      <c r="B600" s="340"/>
      <c r="C600" s="340"/>
      <c r="D600" s="340"/>
      <c r="E600" s="340"/>
      <c r="F600" s="341"/>
      <c r="G600" s="341"/>
      <c r="H600" s="342"/>
      <c r="I600" s="340"/>
      <c r="J600" s="343"/>
      <c r="K600" s="344"/>
    </row>
    <row r="601" spans="1:11">
      <c r="A601" s="339">
        <v>596</v>
      </c>
      <c r="B601" s="340"/>
      <c r="C601" s="340"/>
      <c r="D601" s="340"/>
      <c r="E601" s="340"/>
      <c r="F601" s="341"/>
      <c r="G601" s="341"/>
      <c r="H601" s="342"/>
      <c r="I601" s="340"/>
      <c r="J601" s="343"/>
      <c r="K601" s="344"/>
    </row>
    <row r="602" spans="1:11">
      <c r="A602" s="339">
        <v>597</v>
      </c>
      <c r="B602" s="340"/>
      <c r="C602" s="340"/>
      <c r="D602" s="340"/>
      <c r="E602" s="340"/>
      <c r="F602" s="341"/>
      <c r="G602" s="341"/>
      <c r="H602" s="342"/>
      <c r="I602" s="340"/>
      <c r="J602" s="343"/>
      <c r="K602" s="344"/>
    </row>
    <row r="603" spans="1:11">
      <c r="A603" s="339">
        <v>598</v>
      </c>
      <c r="B603" s="340"/>
      <c r="C603" s="340"/>
      <c r="D603" s="340"/>
      <c r="E603" s="340"/>
      <c r="F603" s="341"/>
      <c r="G603" s="341"/>
      <c r="H603" s="342"/>
      <c r="I603" s="340"/>
      <c r="J603" s="343"/>
      <c r="K603" s="344"/>
    </row>
    <row r="604" spans="1:11">
      <c r="A604" s="339">
        <v>599</v>
      </c>
      <c r="B604" s="340"/>
      <c r="C604" s="340"/>
      <c r="D604" s="340"/>
      <c r="E604" s="340"/>
      <c r="F604" s="341"/>
      <c r="G604" s="341"/>
      <c r="H604" s="342"/>
      <c r="I604" s="340"/>
      <c r="J604" s="343"/>
      <c r="K604" s="344"/>
    </row>
    <row r="605" spans="1:11">
      <c r="A605" s="339">
        <v>600</v>
      </c>
      <c r="B605" s="340"/>
      <c r="C605" s="340"/>
      <c r="D605" s="340"/>
      <c r="E605" s="340"/>
      <c r="F605" s="341"/>
      <c r="G605" s="341"/>
      <c r="H605" s="342"/>
      <c r="I605" s="340"/>
      <c r="J605" s="343"/>
      <c r="K605" s="344"/>
    </row>
    <row r="606" spans="1:11">
      <c r="A606" s="339">
        <v>601</v>
      </c>
      <c r="B606" s="340"/>
      <c r="C606" s="340"/>
      <c r="D606" s="340"/>
      <c r="E606" s="340"/>
      <c r="F606" s="341"/>
      <c r="G606" s="341"/>
      <c r="H606" s="342"/>
      <c r="I606" s="340"/>
      <c r="J606" s="343"/>
      <c r="K606" s="344"/>
    </row>
    <row r="607" spans="1:11">
      <c r="A607" s="339">
        <v>602</v>
      </c>
      <c r="B607" s="340"/>
      <c r="C607" s="340"/>
      <c r="D607" s="340"/>
      <c r="E607" s="340"/>
      <c r="F607" s="341"/>
      <c r="G607" s="341"/>
      <c r="H607" s="342"/>
      <c r="I607" s="340"/>
      <c r="J607" s="343"/>
      <c r="K607" s="344"/>
    </row>
    <row r="608" spans="1:11">
      <c r="A608" s="339">
        <v>603</v>
      </c>
      <c r="B608" s="340"/>
      <c r="C608" s="340"/>
      <c r="D608" s="340"/>
      <c r="E608" s="340"/>
      <c r="F608" s="341"/>
      <c r="G608" s="341"/>
      <c r="H608" s="342"/>
      <c r="I608" s="340"/>
      <c r="J608" s="343"/>
      <c r="K608" s="344"/>
    </row>
    <row r="609" spans="1:11">
      <c r="A609" s="339">
        <v>604</v>
      </c>
      <c r="B609" s="340"/>
      <c r="C609" s="340"/>
      <c r="D609" s="340"/>
      <c r="E609" s="340"/>
      <c r="F609" s="341"/>
      <c r="G609" s="341"/>
      <c r="H609" s="342"/>
      <c r="I609" s="340"/>
      <c r="J609" s="343"/>
      <c r="K609" s="344"/>
    </row>
    <row r="610" spans="1:11">
      <c r="A610" s="339">
        <v>605</v>
      </c>
      <c r="B610" s="340"/>
      <c r="C610" s="340"/>
      <c r="D610" s="340"/>
      <c r="E610" s="340"/>
      <c r="F610" s="341"/>
      <c r="G610" s="341"/>
      <c r="H610" s="342"/>
      <c r="I610" s="340"/>
      <c r="J610" s="343"/>
      <c r="K610" s="344"/>
    </row>
    <row r="611" spans="1:11">
      <c r="A611" s="339">
        <v>606</v>
      </c>
      <c r="B611" s="340"/>
      <c r="C611" s="340"/>
      <c r="D611" s="340"/>
      <c r="E611" s="340"/>
      <c r="F611" s="341"/>
      <c r="G611" s="341"/>
      <c r="H611" s="342"/>
      <c r="I611" s="340"/>
      <c r="J611" s="343"/>
      <c r="K611" s="344"/>
    </row>
    <row r="612" spans="1:11">
      <c r="A612" s="339">
        <v>607</v>
      </c>
      <c r="B612" s="340"/>
      <c r="C612" s="340"/>
      <c r="D612" s="340"/>
      <c r="E612" s="340"/>
      <c r="F612" s="341"/>
      <c r="G612" s="341"/>
      <c r="H612" s="342"/>
      <c r="I612" s="340"/>
      <c r="J612" s="343"/>
      <c r="K612" s="344"/>
    </row>
    <row r="613" spans="1:11">
      <c r="A613" s="339">
        <v>608</v>
      </c>
      <c r="B613" s="340"/>
      <c r="C613" s="340"/>
      <c r="D613" s="340"/>
      <c r="E613" s="340"/>
      <c r="F613" s="341"/>
      <c r="G613" s="341"/>
      <c r="H613" s="342"/>
      <c r="I613" s="340"/>
      <c r="J613" s="343"/>
      <c r="K613" s="344"/>
    </row>
    <row r="614" spans="1:11">
      <c r="A614" s="339">
        <v>609</v>
      </c>
      <c r="B614" s="340"/>
      <c r="C614" s="340"/>
      <c r="D614" s="340"/>
      <c r="E614" s="340"/>
      <c r="F614" s="341"/>
      <c r="G614" s="341"/>
      <c r="H614" s="342"/>
      <c r="I614" s="340"/>
      <c r="J614" s="343"/>
      <c r="K614" s="344"/>
    </row>
    <row r="615" spans="1:11">
      <c r="A615" s="339">
        <v>610</v>
      </c>
      <c r="B615" s="340"/>
      <c r="C615" s="340"/>
      <c r="D615" s="340"/>
      <c r="E615" s="340"/>
      <c r="F615" s="341"/>
      <c r="G615" s="341"/>
      <c r="H615" s="342"/>
      <c r="I615" s="340"/>
      <c r="J615" s="343"/>
      <c r="K615" s="344"/>
    </row>
    <row r="616" spans="1:11">
      <c r="A616" s="339">
        <v>611</v>
      </c>
      <c r="B616" s="340"/>
      <c r="C616" s="340"/>
      <c r="D616" s="340"/>
      <c r="E616" s="340"/>
      <c r="F616" s="341"/>
      <c r="G616" s="341"/>
      <c r="H616" s="342"/>
      <c r="I616" s="340"/>
      <c r="J616" s="343"/>
      <c r="K616" s="344"/>
    </row>
    <row r="617" spans="1:11">
      <c r="A617" s="339">
        <v>612</v>
      </c>
      <c r="B617" s="340"/>
      <c r="C617" s="340"/>
      <c r="D617" s="340"/>
      <c r="E617" s="340"/>
      <c r="F617" s="341"/>
      <c r="G617" s="341"/>
      <c r="H617" s="342"/>
      <c r="I617" s="340"/>
      <c r="J617" s="343"/>
      <c r="K617" s="344"/>
    </row>
    <row r="618" spans="1:11">
      <c r="A618" s="339">
        <v>613</v>
      </c>
      <c r="B618" s="340"/>
      <c r="C618" s="340"/>
      <c r="D618" s="340"/>
      <c r="E618" s="340"/>
      <c r="F618" s="341"/>
      <c r="G618" s="341"/>
      <c r="H618" s="342"/>
      <c r="I618" s="340"/>
      <c r="J618" s="343"/>
      <c r="K618" s="344"/>
    </row>
    <row r="619" spans="1:11">
      <c r="A619" s="339">
        <v>614</v>
      </c>
      <c r="B619" s="340"/>
      <c r="C619" s="340"/>
      <c r="D619" s="340"/>
      <c r="E619" s="340"/>
      <c r="F619" s="341"/>
      <c r="G619" s="341"/>
      <c r="H619" s="342"/>
      <c r="I619" s="340"/>
      <c r="J619" s="343"/>
      <c r="K619" s="344"/>
    </row>
    <row r="620" spans="1:11">
      <c r="A620" s="339">
        <v>615</v>
      </c>
      <c r="B620" s="340"/>
      <c r="C620" s="340"/>
      <c r="D620" s="340"/>
      <c r="E620" s="340"/>
      <c r="F620" s="341"/>
      <c r="G620" s="341"/>
      <c r="H620" s="342"/>
      <c r="I620" s="340"/>
      <c r="J620" s="343"/>
      <c r="K620" s="344"/>
    </row>
    <row r="621" spans="1:11">
      <c r="A621" s="339">
        <v>616</v>
      </c>
      <c r="B621" s="340"/>
      <c r="C621" s="340"/>
      <c r="D621" s="340"/>
      <c r="E621" s="340"/>
      <c r="F621" s="341"/>
      <c r="G621" s="341"/>
      <c r="H621" s="342"/>
      <c r="I621" s="340"/>
      <c r="J621" s="343"/>
      <c r="K621" s="344"/>
    </row>
    <row r="622" spans="1:11">
      <c r="A622" s="339">
        <v>617</v>
      </c>
      <c r="B622" s="340"/>
      <c r="C622" s="340"/>
      <c r="D622" s="340"/>
      <c r="E622" s="340"/>
      <c r="F622" s="341"/>
      <c r="G622" s="341"/>
      <c r="H622" s="342"/>
      <c r="I622" s="340"/>
      <c r="J622" s="343"/>
      <c r="K622" s="344"/>
    </row>
    <row r="623" spans="1:11">
      <c r="A623" s="339">
        <v>618</v>
      </c>
      <c r="B623" s="340"/>
      <c r="C623" s="340"/>
      <c r="D623" s="340"/>
      <c r="E623" s="340"/>
      <c r="F623" s="341"/>
      <c r="G623" s="341"/>
      <c r="H623" s="342"/>
      <c r="I623" s="340"/>
      <c r="J623" s="343"/>
      <c r="K623" s="344"/>
    </row>
    <row r="624" spans="1:11">
      <c r="A624" s="339">
        <v>619</v>
      </c>
      <c r="B624" s="340"/>
      <c r="C624" s="340"/>
      <c r="D624" s="340"/>
      <c r="E624" s="340"/>
      <c r="F624" s="341"/>
      <c r="G624" s="341"/>
      <c r="H624" s="342"/>
      <c r="I624" s="340"/>
      <c r="J624" s="343"/>
      <c r="K624" s="344"/>
    </row>
    <row r="625" spans="1:11">
      <c r="A625" s="339">
        <v>620</v>
      </c>
      <c r="B625" s="340"/>
      <c r="C625" s="340"/>
      <c r="D625" s="340"/>
      <c r="E625" s="340"/>
      <c r="F625" s="341"/>
      <c r="G625" s="341"/>
      <c r="H625" s="342"/>
      <c r="I625" s="340"/>
      <c r="J625" s="343"/>
      <c r="K625" s="344"/>
    </row>
    <row r="626" spans="1:11">
      <c r="A626" s="339">
        <v>621</v>
      </c>
      <c r="B626" s="340"/>
      <c r="C626" s="340"/>
      <c r="D626" s="340"/>
      <c r="E626" s="340"/>
      <c r="F626" s="341"/>
      <c r="G626" s="341"/>
      <c r="H626" s="342"/>
      <c r="I626" s="340"/>
      <c r="J626" s="343"/>
      <c r="K626" s="344"/>
    </row>
    <row r="627" spans="1:11">
      <c r="A627" s="339">
        <v>622</v>
      </c>
      <c r="B627" s="340"/>
      <c r="C627" s="340"/>
      <c r="D627" s="340"/>
      <c r="E627" s="340"/>
      <c r="F627" s="341"/>
      <c r="G627" s="341"/>
      <c r="H627" s="342"/>
      <c r="I627" s="340"/>
      <c r="J627" s="343"/>
      <c r="K627" s="344"/>
    </row>
    <row r="628" spans="1:11">
      <c r="A628" s="339">
        <v>623</v>
      </c>
      <c r="B628" s="340"/>
      <c r="C628" s="340"/>
      <c r="D628" s="340"/>
      <c r="E628" s="340"/>
      <c r="F628" s="341"/>
      <c r="G628" s="341"/>
      <c r="H628" s="342"/>
      <c r="I628" s="340"/>
      <c r="J628" s="343"/>
      <c r="K628" s="344"/>
    </row>
    <row r="629" spans="1:11">
      <c r="A629" s="339">
        <v>624</v>
      </c>
      <c r="B629" s="340"/>
      <c r="C629" s="340"/>
      <c r="D629" s="340"/>
      <c r="E629" s="340"/>
      <c r="F629" s="341"/>
      <c r="G629" s="341"/>
      <c r="H629" s="342"/>
      <c r="I629" s="340"/>
      <c r="J629" s="343"/>
      <c r="K629" s="344"/>
    </row>
    <row r="630" spans="1:11">
      <c r="A630" s="339">
        <v>625</v>
      </c>
      <c r="B630" s="340"/>
      <c r="C630" s="340"/>
      <c r="D630" s="340"/>
      <c r="E630" s="340"/>
      <c r="F630" s="341"/>
      <c r="G630" s="341"/>
      <c r="H630" s="342"/>
      <c r="I630" s="340"/>
      <c r="J630" s="343"/>
      <c r="K630" s="344"/>
    </row>
    <row r="631" spans="1:11">
      <c r="A631" s="339">
        <v>626</v>
      </c>
      <c r="B631" s="340"/>
      <c r="C631" s="340"/>
      <c r="D631" s="340"/>
      <c r="E631" s="340"/>
      <c r="F631" s="341"/>
      <c r="G631" s="341"/>
      <c r="H631" s="342"/>
      <c r="I631" s="340"/>
      <c r="J631" s="343"/>
      <c r="K631" s="344"/>
    </row>
    <row r="632" spans="1:11">
      <c r="A632" s="339">
        <v>627</v>
      </c>
      <c r="B632" s="340"/>
      <c r="C632" s="340"/>
      <c r="D632" s="340"/>
      <c r="E632" s="340"/>
      <c r="F632" s="341"/>
      <c r="G632" s="341"/>
      <c r="H632" s="342"/>
      <c r="I632" s="340"/>
      <c r="J632" s="343"/>
      <c r="K632" s="344"/>
    </row>
    <row r="633" spans="1:11">
      <c r="A633" s="339">
        <v>628</v>
      </c>
      <c r="B633" s="340"/>
      <c r="C633" s="340"/>
      <c r="D633" s="340"/>
      <c r="E633" s="340"/>
      <c r="F633" s="341"/>
      <c r="G633" s="341"/>
      <c r="H633" s="342"/>
      <c r="I633" s="340"/>
      <c r="J633" s="343"/>
      <c r="K633" s="344"/>
    </row>
    <row r="634" spans="1:11">
      <c r="A634" s="339">
        <v>629</v>
      </c>
      <c r="B634" s="340"/>
      <c r="C634" s="340"/>
      <c r="D634" s="340"/>
      <c r="E634" s="340"/>
      <c r="F634" s="341"/>
      <c r="G634" s="341"/>
      <c r="H634" s="342"/>
      <c r="I634" s="340"/>
      <c r="J634" s="343"/>
      <c r="K634" s="344"/>
    </row>
    <row r="635" spans="1:11">
      <c r="A635" s="339">
        <v>630</v>
      </c>
      <c r="B635" s="340"/>
      <c r="C635" s="340"/>
      <c r="D635" s="340"/>
      <c r="E635" s="340"/>
      <c r="F635" s="341"/>
      <c r="G635" s="341"/>
      <c r="H635" s="342"/>
      <c r="I635" s="340"/>
      <c r="J635" s="343"/>
      <c r="K635" s="344"/>
    </row>
    <row r="636" spans="1:11">
      <c r="A636" s="339">
        <v>631</v>
      </c>
      <c r="B636" s="340"/>
      <c r="C636" s="340"/>
      <c r="D636" s="340"/>
      <c r="E636" s="340"/>
      <c r="F636" s="341"/>
      <c r="G636" s="341"/>
      <c r="H636" s="342"/>
      <c r="I636" s="340"/>
      <c r="J636" s="343"/>
      <c r="K636" s="344"/>
    </row>
    <row r="637" spans="1:11">
      <c r="A637" s="339">
        <v>632</v>
      </c>
      <c r="B637" s="340"/>
      <c r="C637" s="340"/>
      <c r="D637" s="340"/>
      <c r="E637" s="340"/>
      <c r="F637" s="341"/>
      <c r="G637" s="341"/>
      <c r="H637" s="342"/>
      <c r="I637" s="340"/>
      <c r="J637" s="343"/>
      <c r="K637" s="344"/>
    </row>
    <row r="638" spans="1:11">
      <c r="A638" s="339">
        <v>633</v>
      </c>
      <c r="B638" s="340"/>
      <c r="C638" s="340"/>
      <c r="D638" s="340"/>
      <c r="E638" s="340"/>
      <c r="F638" s="341"/>
      <c r="G638" s="341"/>
      <c r="H638" s="342"/>
      <c r="I638" s="340"/>
      <c r="J638" s="343"/>
      <c r="K638" s="344"/>
    </row>
    <row r="639" spans="1:11">
      <c r="A639" s="339">
        <v>634</v>
      </c>
      <c r="B639" s="340"/>
      <c r="C639" s="340"/>
      <c r="D639" s="340"/>
      <c r="E639" s="340"/>
      <c r="F639" s="341"/>
      <c r="G639" s="341"/>
      <c r="H639" s="342"/>
      <c r="I639" s="340"/>
      <c r="J639" s="343"/>
      <c r="K639" s="344"/>
    </row>
    <row r="640" spans="1:11">
      <c r="A640" s="339">
        <v>635</v>
      </c>
      <c r="B640" s="340"/>
      <c r="C640" s="340"/>
      <c r="D640" s="340"/>
      <c r="E640" s="340"/>
      <c r="F640" s="341"/>
      <c r="G640" s="341"/>
      <c r="H640" s="342"/>
      <c r="I640" s="340"/>
      <c r="J640" s="343"/>
      <c r="K640" s="344"/>
    </row>
    <row r="641" spans="1:11">
      <c r="A641" s="339">
        <v>636</v>
      </c>
      <c r="B641" s="340"/>
      <c r="C641" s="340"/>
      <c r="D641" s="340"/>
      <c r="E641" s="340"/>
      <c r="F641" s="341"/>
      <c r="G641" s="341"/>
      <c r="H641" s="342"/>
      <c r="I641" s="340"/>
      <c r="J641" s="343"/>
      <c r="K641" s="344"/>
    </row>
    <row r="642" spans="1:11">
      <c r="A642" s="339">
        <v>637</v>
      </c>
      <c r="B642" s="340"/>
      <c r="C642" s="340"/>
      <c r="D642" s="340"/>
      <c r="E642" s="340"/>
      <c r="F642" s="341"/>
      <c r="G642" s="341"/>
      <c r="H642" s="342"/>
      <c r="I642" s="340"/>
      <c r="J642" s="343"/>
      <c r="K642" s="344"/>
    </row>
    <row r="643" spans="1:11">
      <c r="A643" s="339">
        <v>638</v>
      </c>
      <c r="B643" s="340"/>
      <c r="C643" s="340"/>
      <c r="D643" s="340"/>
      <c r="E643" s="340"/>
      <c r="F643" s="341"/>
      <c r="G643" s="341"/>
      <c r="H643" s="342"/>
      <c r="I643" s="340"/>
      <c r="J643" s="343"/>
      <c r="K643" s="344"/>
    </row>
    <row r="644" spans="1:11">
      <c r="A644" s="339">
        <v>639</v>
      </c>
      <c r="B644" s="340"/>
      <c r="C644" s="340"/>
      <c r="D644" s="340"/>
      <c r="E644" s="340"/>
      <c r="F644" s="341"/>
      <c r="G644" s="341"/>
      <c r="H644" s="342"/>
      <c r="I644" s="340"/>
      <c r="J644" s="343"/>
      <c r="K644" s="344"/>
    </row>
    <row r="645" spans="1:11">
      <c r="A645" s="339">
        <v>640</v>
      </c>
      <c r="B645" s="340"/>
      <c r="C645" s="340"/>
      <c r="D645" s="340"/>
      <c r="E645" s="340"/>
      <c r="F645" s="341"/>
      <c r="G645" s="341"/>
      <c r="H645" s="342"/>
      <c r="I645" s="340"/>
      <c r="J645" s="343"/>
      <c r="K645" s="344"/>
    </row>
    <row r="646" spans="1:11">
      <c r="A646" s="339">
        <v>641</v>
      </c>
      <c r="B646" s="340"/>
      <c r="C646" s="340"/>
      <c r="D646" s="340"/>
      <c r="E646" s="340"/>
      <c r="F646" s="341"/>
      <c r="G646" s="341"/>
      <c r="H646" s="342"/>
      <c r="I646" s="340"/>
      <c r="J646" s="343"/>
      <c r="K646" s="344"/>
    </row>
    <row r="647" spans="1:11">
      <c r="A647" s="339">
        <v>642</v>
      </c>
      <c r="B647" s="340"/>
      <c r="C647" s="340"/>
      <c r="D647" s="340"/>
      <c r="E647" s="340"/>
      <c r="F647" s="341"/>
      <c r="G647" s="341"/>
      <c r="H647" s="342"/>
      <c r="I647" s="340"/>
      <c r="J647" s="343"/>
      <c r="K647" s="344"/>
    </row>
    <row r="648" spans="1:11">
      <c r="A648" s="339">
        <v>643</v>
      </c>
      <c r="B648" s="340"/>
      <c r="C648" s="340"/>
      <c r="D648" s="340"/>
      <c r="E648" s="340"/>
      <c r="F648" s="341"/>
      <c r="G648" s="341"/>
      <c r="H648" s="342"/>
      <c r="I648" s="340"/>
      <c r="J648" s="343"/>
      <c r="K648" s="344"/>
    </row>
    <row r="649" spans="1:11">
      <c r="A649" s="339">
        <v>644</v>
      </c>
      <c r="B649" s="340"/>
      <c r="C649" s="340"/>
      <c r="D649" s="340"/>
      <c r="E649" s="340"/>
      <c r="F649" s="341"/>
      <c r="G649" s="341"/>
      <c r="H649" s="342"/>
      <c r="I649" s="340"/>
      <c r="J649" s="343"/>
      <c r="K649" s="344"/>
    </row>
    <row r="650" spans="1:11">
      <c r="A650" s="339">
        <v>645</v>
      </c>
      <c r="B650" s="340"/>
      <c r="C650" s="340"/>
      <c r="D650" s="340"/>
      <c r="E650" s="340"/>
      <c r="F650" s="341"/>
      <c r="G650" s="341"/>
      <c r="H650" s="342"/>
      <c r="I650" s="340"/>
      <c r="J650" s="343"/>
      <c r="K650" s="344"/>
    </row>
    <row r="651" spans="1:11">
      <c r="A651" s="339">
        <v>646</v>
      </c>
      <c r="B651" s="340"/>
      <c r="C651" s="340"/>
      <c r="D651" s="340"/>
      <c r="E651" s="340"/>
      <c r="F651" s="341"/>
      <c r="G651" s="341"/>
      <c r="H651" s="342"/>
      <c r="I651" s="340"/>
      <c r="J651" s="343"/>
      <c r="K651" s="344"/>
    </row>
    <row r="652" spans="1:11">
      <c r="A652" s="339">
        <v>647</v>
      </c>
      <c r="B652" s="340"/>
      <c r="C652" s="340"/>
      <c r="D652" s="340"/>
      <c r="E652" s="340"/>
      <c r="F652" s="341"/>
      <c r="G652" s="341"/>
      <c r="H652" s="342"/>
      <c r="I652" s="340"/>
      <c r="J652" s="343"/>
      <c r="K652" s="344"/>
    </row>
    <row r="653" spans="1:11">
      <c r="A653" s="339">
        <v>648</v>
      </c>
      <c r="B653" s="340"/>
      <c r="C653" s="340"/>
      <c r="D653" s="340"/>
      <c r="E653" s="340"/>
      <c r="F653" s="341"/>
      <c r="G653" s="341"/>
      <c r="H653" s="342"/>
      <c r="I653" s="340"/>
      <c r="J653" s="343"/>
      <c r="K653" s="344"/>
    </row>
    <row r="654" spans="1:11">
      <c r="A654" s="339">
        <v>649</v>
      </c>
      <c r="B654" s="340"/>
      <c r="C654" s="340"/>
      <c r="D654" s="340"/>
      <c r="E654" s="340"/>
      <c r="F654" s="341"/>
      <c r="G654" s="341"/>
      <c r="H654" s="342"/>
      <c r="I654" s="340"/>
      <c r="J654" s="343"/>
      <c r="K654" s="344"/>
    </row>
    <row r="655" spans="1:11">
      <c r="A655" s="339">
        <v>650</v>
      </c>
      <c r="B655" s="340"/>
      <c r="C655" s="340"/>
      <c r="D655" s="340"/>
      <c r="E655" s="340"/>
      <c r="F655" s="341"/>
      <c r="G655" s="341"/>
      <c r="H655" s="342"/>
      <c r="I655" s="340"/>
      <c r="J655" s="343"/>
      <c r="K655" s="344"/>
    </row>
    <row r="656" spans="1:11">
      <c r="A656" s="339">
        <v>651</v>
      </c>
      <c r="B656" s="340"/>
      <c r="C656" s="340"/>
      <c r="D656" s="340"/>
      <c r="E656" s="340"/>
      <c r="F656" s="341"/>
      <c r="G656" s="341"/>
      <c r="H656" s="342"/>
      <c r="I656" s="340"/>
      <c r="J656" s="343"/>
      <c r="K656" s="344"/>
    </row>
    <row r="657" spans="1:11">
      <c r="A657" s="339">
        <v>652</v>
      </c>
      <c r="B657" s="340"/>
      <c r="C657" s="340"/>
      <c r="D657" s="340"/>
      <c r="E657" s="340"/>
      <c r="F657" s="341"/>
      <c r="G657" s="341"/>
      <c r="H657" s="342"/>
      <c r="I657" s="340"/>
      <c r="J657" s="343"/>
      <c r="K657" s="344"/>
    </row>
    <row r="658" spans="1:11">
      <c r="A658" s="339">
        <v>653</v>
      </c>
      <c r="B658" s="340"/>
      <c r="C658" s="340"/>
      <c r="D658" s="340"/>
      <c r="E658" s="340"/>
      <c r="F658" s="341"/>
      <c r="G658" s="341"/>
      <c r="H658" s="342"/>
      <c r="I658" s="340"/>
      <c r="J658" s="343"/>
      <c r="K658" s="344"/>
    </row>
    <row r="659" spans="1:11">
      <c r="A659" s="339">
        <v>654</v>
      </c>
      <c r="B659" s="340"/>
      <c r="C659" s="340"/>
      <c r="D659" s="340"/>
      <c r="E659" s="340"/>
      <c r="F659" s="341"/>
      <c r="G659" s="341"/>
      <c r="H659" s="342"/>
      <c r="I659" s="340"/>
      <c r="J659" s="343"/>
      <c r="K659" s="344"/>
    </row>
    <row r="660" spans="1:11">
      <c r="A660" s="339">
        <v>655</v>
      </c>
      <c r="B660" s="340"/>
      <c r="C660" s="340"/>
      <c r="D660" s="340"/>
      <c r="E660" s="340"/>
      <c r="F660" s="341"/>
      <c r="G660" s="341"/>
      <c r="H660" s="342"/>
      <c r="I660" s="340"/>
      <c r="J660" s="343"/>
      <c r="K660" s="344"/>
    </row>
    <row r="661" spans="1:11">
      <c r="A661" s="339">
        <v>656</v>
      </c>
      <c r="B661" s="340"/>
      <c r="C661" s="340"/>
      <c r="D661" s="340"/>
      <c r="E661" s="340"/>
      <c r="F661" s="341"/>
      <c r="G661" s="341"/>
      <c r="H661" s="342"/>
      <c r="I661" s="340"/>
      <c r="J661" s="343"/>
      <c r="K661" s="344"/>
    </row>
    <row r="662" spans="1:11">
      <c r="A662" s="339">
        <v>657</v>
      </c>
      <c r="B662" s="340"/>
      <c r="C662" s="340"/>
      <c r="D662" s="340"/>
      <c r="E662" s="340"/>
      <c r="F662" s="341"/>
      <c r="G662" s="341"/>
      <c r="H662" s="342"/>
      <c r="I662" s="340"/>
      <c r="J662" s="343"/>
      <c r="K662" s="344"/>
    </row>
    <row r="663" spans="1:11">
      <c r="A663" s="339">
        <v>658</v>
      </c>
      <c r="B663" s="340"/>
      <c r="C663" s="340"/>
      <c r="D663" s="340"/>
      <c r="E663" s="340"/>
      <c r="F663" s="341"/>
      <c r="G663" s="341"/>
      <c r="H663" s="342"/>
      <c r="I663" s="340"/>
      <c r="J663" s="343"/>
      <c r="K663" s="344"/>
    </row>
    <row r="664" spans="1:11">
      <c r="A664" s="339">
        <v>659</v>
      </c>
      <c r="B664" s="340"/>
      <c r="C664" s="340"/>
      <c r="D664" s="340"/>
      <c r="E664" s="340"/>
      <c r="F664" s="341"/>
      <c r="G664" s="341"/>
      <c r="H664" s="342"/>
      <c r="I664" s="340"/>
      <c r="J664" s="343"/>
      <c r="K664" s="344"/>
    </row>
    <row r="665" spans="1:11">
      <c r="A665" s="339">
        <v>660</v>
      </c>
      <c r="B665" s="340"/>
      <c r="C665" s="340"/>
      <c r="D665" s="340"/>
      <c r="E665" s="340"/>
      <c r="F665" s="341"/>
      <c r="G665" s="341"/>
      <c r="H665" s="342"/>
      <c r="I665" s="340"/>
      <c r="J665" s="343"/>
      <c r="K665" s="344"/>
    </row>
    <row r="666" spans="1:11">
      <c r="A666" s="339">
        <v>661</v>
      </c>
      <c r="B666" s="340"/>
      <c r="C666" s="340"/>
      <c r="D666" s="340"/>
      <c r="E666" s="340"/>
      <c r="F666" s="341"/>
      <c r="G666" s="341"/>
      <c r="H666" s="342"/>
      <c r="I666" s="340"/>
      <c r="J666" s="343"/>
      <c r="K666" s="344"/>
    </row>
    <row r="667" spans="1:11">
      <c r="A667" s="339">
        <v>662</v>
      </c>
      <c r="B667" s="340"/>
      <c r="C667" s="340"/>
      <c r="D667" s="340"/>
      <c r="E667" s="340"/>
      <c r="F667" s="341"/>
      <c r="G667" s="341"/>
      <c r="H667" s="342"/>
      <c r="I667" s="340"/>
      <c r="J667" s="343"/>
      <c r="K667" s="344"/>
    </row>
    <row r="668" spans="1:11">
      <c r="A668" s="339">
        <v>663</v>
      </c>
      <c r="B668" s="340"/>
      <c r="C668" s="340"/>
      <c r="D668" s="340"/>
      <c r="E668" s="340"/>
      <c r="F668" s="341"/>
      <c r="G668" s="341"/>
      <c r="H668" s="342"/>
      <c r="I668" s="340"/>
      <c r="J668" s="343"/>
      <c r="K668" s="344"/>
    </row>
    <row r="669" spans="1:11">
      <c r="A669" s="339">
        <v>664</v>
      </c>
      <c r="B669" s="340"/>
      <c r="C669" s="340"/>
      <c r="D669" s="340"/>
      <c r="E669" s="340"/>
      <c r="F669" s="341"/>
      <c r="G669" s="341"/>
      <c r="H669" s="342"/>
      <c r="I669" s="340"/>
      <c r="J669" s="343"/>
      <c r="K669" s="344"/>
    </row>
    <row r="670" spans="1:11">
      <c r="A670" s="339">
        <v>665</v>
      </c>
      <c r="B670" s="340"/>
      <c r="C670" s="340"/>
      <c r="D670" s="340"/>
      <c r="E670" s="340"/>
      <c r="F670" s="341"/>
      <c r="G670" s="341"/>
      <c r="H670" s="342"/>
      <c r="I670" s="340"/>
      <c r="J670" s="343"/>
      <c r="K670" s="344"/>
    </row>
    <row r="671" spans="1:11">
      <c r="A671" s="339">
        <v>666</v>
      </c>
      <c r="B671" s="340"/>
      <c r="C671" s="340"/>
      <c r="D671" s="340"/>
      <c r="E671" s="340"/>
      <c r="F671" s="341"/>
      <c r="G671" s="341"/>
      <c r="H671" s="342"/>
      <c r="I671" s="340"/>
      <c r="J671" s="343"/>
      <c r="K671" s="344"/>
    </row>
    <row r="672" spans="1:11">
      <c r="A672" s="339">
        <v>667</v>
      </c>
      <c r="B672" s="340"/>
      <c r="C672" s="340"/>
      <c r="D672" s="340"/>
      <c r="E672" s="340"/>
      <c r="F672" s="341"/>
      <c r="G672" s="341"/>
      <c r="H672" s="342"/>
      <c r="I672" s="340"/>
      <c r="J672" s="343"/>
      <c r="K672" s="344"/>
    </row>
    <row r="673" spans="1:11">
      <c r="A673" s="339">
        <v>668</v>
      </c>
      <c r="B673" s="340"/>
      <c r="C673" s="340"/>
      <c r="D673" s="340"/>
      <c r="E673" s="340"/>
      <c r="F673" s="341"/>
      <c r="G673" s="341"/>
      <c r="H673" s="342"/>
      <c r="I673" s="340"/>
      <c r="J673" s="343"/>
      <c r="K673" s="344"/>
    </row>
    <row r="674" spans="1:11">
      <c r="A674" s="339">
        <v>669</v>
      </c>
      <c r="B674" s="340"/>
      <c r="C674" s="340"/>
      <c r="D674" s="340"/>
      <c r="E674" s="340"/>
      <c r="F674" s="341"/>
      <c r="G674" s="341"/>
      <c r="H674" s="342"/>
      <c r="I674" s="340"/>
      <c r="J674" s="343"/>
      <c r="K674" s="344"/>
    </row>
    <row r="675" spans="1:11">
      <c r="A675" s="339">
        <v>670</v>
      </c>
      <c r="B675" s="340"/>
      <c r="C675" s="340"/>
      <c r="D675" s="340"/>
      <c r="E675" s="340"/>
      <c r="F675" s="341"/>
      <c r="G675" s="341"/>
      <c r="H675" s="342"/>
      <c r="I675" s="340"/>
      <c r="J675" s="343"/>
      <c r="K675" s="344"/>
    </row>
    <row r="676" spans="1:11">
      <c r="A676" s="339">
        <v>671</v>
      </c>
      <c r="B676" s="340"/>
      <c r="C676" s="340"/>
      <c r="D676" s="340"/>
      <c r="E676" s="340"/>
      <c r="F676" s="341"/>
      <c r="G676" s="341"/>
      <c r="H676" s="342"/>
      <c r="I676" s="340"/>
      <c r="J676" s="343"/>
      <c r="K676" s="344"/>
    </row>
    <row r="677" spans="1:11">
      <c r="A677" s="339">
        <v>672</v>
      </c>
      <c r="B677" s="340"/>
      <c r="C677" s="340"/>
      <c r="D677" s="340"/>
      <c r="E677" s="340"/>
      <c r="F677" s="341"/>
      <c r="G677" s="341"/>
      <c r="H677" s="342"/>
      <c r="I677" s="340"/>
      <c r="J677" s="343"/>
      <c r="K677" s="344"/>
    </row>
    <row r="678" spans="1:11">
      <c r="A678" s="339">
        <v>673</v>
      </c>
      <c r="B678" s="340"/>
      <c r="C678" s="340"/>
      <c r="D678" s="340"/>
      <c r="E678" s="340"/>
      <c r="F678" s="341"/>
      <c r="G678" s="341"/>
      <c r="H678" s="342"/>
      <c r="I678" s="340"/>
      <c r="J678" s="343"/>
      <c r="K678" s="344"/>
    </row>
    <row r="679" spans="1:11">
      <c r="A679" s="339">
        <v>674</v>
      </c>
      <c r="B679" s="340"/>
      <c r="C679" s="340"/>
      <c r="D679" s="340"/>
      <c r="E679" s="340"/>
      <c r="F679" s="341"/>
      <c r="G679" s="341"/>
      <c r="H679" s="342"/>
      <c r="I679" s="340"/>
      <c r="J679" s="343"/>
      <c r="K679" s="344"/>
    </row>
    <row r="680" spans="1:11">
      <c r="A680" s="339">
        <v>675</v>
      </c>
      <c r="B680" s="340"/>
      <c r="C680" s="340"/>
      <c r="D680" s="340"/>
      <c r="E680" s="340"/>
      <c r="F680" s="341"/>
      <c r="G680" s="341"/>
      <c r="H680" s="342"/>
      <c r="I680" s="340"/>
      <c r="J680" s="343"/>
      <c r="K680" s="344"/>
    </row>
    <row r="681" spans="1:11">
      <c r="A681" s="339">
        <v>676</v>
      </c>
      <c r="B681" s="340"/>
      <c r="C681" s="340"/>
      <c r="D681" s="340"/>
      <c r="E681" s="340"/>
      <c r="F681" s="341"/>
      <c r="G681" s="341"/>
      <c r="H681" s="342"/>
      <c r="I681" s="340"/>
      <c r="J681" s="343"/>
      <c r="K681" s="344"/>
    </row>
    <row r="682" spans="1:11">
      <c r="A682" s="339">
        <v>677</v>
      </c>
      <c r="B682" s="340"/>
      <c r="C682" s="340"/>
      <c r="D682" s="340"/>
      <c r="E682" s="340"/>
      <c r="F682" s="341"/>
      <c r="G682" s="341"/>
      <c r="H682" s="342"/>
      <c r="I682" s="340"/>
      <c r="J682" s="343"/>
      <c r="K682" s="344"/>
    </row>
    <row r="683" spans="1:11">
      <c r="A683" s="339">
        <v>678</v>
      </c>
      <c r="B683" s="340"/>
      <c r="C683" s="340"/>
      <c r="D683" s="340"/>
      <c r="E683" s="340"/>
      <c r="F683" s="341"/>
      <c r="G683" s="341"/>
      <c r="H683" s="342"/>
      <c r="I683" s="340"/>
      <c r="J683" s="343"/>
      <c r="K683" s="344"/>
    </row>
    <row r="684" spans="1:11">
      <c r="A684" s="339">
        <v>679</v>
      </c>
      <c r="B684" s="340"/>
      <c r="C684" s="340"/>
      <c r="D684" s="340"/>
      <c r="E684" s="340"/>
      <c r="F684" s="341"/>
      <c r="G684" s="341"/>
      <c r="H684" s="342"/>
      <c r="I684" s="340"/>
      <c r="J684" s="343"/>
      <c r="K684" s="344"/>
    </row>
    <row r="685" spans="1:11">
      <c r="A685" s="339">
        <v>680</v>
      </c>
      <c r="B685" s="340"/>
      <c r="C685" s="340"/>
      <c r="D685" s="340"/>
      <c r="E685" s="340"/>
      <c r="F685" s="341"/>
      <c r="G685" s="341"/>
      <c r="H685" s="342"/>
      <c r="I685" s="340"/>
      <c r="J685" s="343"/>
      <c r="K685" s="344"/>
    </row>
    <row r="686" spans="1:11">
      <c r="A686" s="339">
        <v>681</v>
      </c>
      <c r="B686" s="340"/>
      <c r="C686" s="340"/>
      <c r="D686" s="340"/>
      <c r="E686" s="340"/>
      <c r="F686" s="341"/>
      <c r="G686" s="341"/>
      <c r="H686" s="342"/>
      <c r="I686" s="340"/>
      <c r="J686" s="343"/>
      <c r="K686" s="344"/>
    </row>
    <row r="687" spans="1:11">
      <c r="A687" s="339">
        <v>682</v>
      </c>
      <c r="B687" s="340"/>
      <c r="C687" s="340"/>
      <c r="D687" s="340"/>
      <c r="E687" s="340"/>
      <c r="F687" s="341"/>
      <c r="G687" s="341"/>
      <c r="H687" s="342"/>
      <c r="I687" s="340"/>
      <c r="J687" s="343"/>
      <c r="K687" s="344"/>
    </row>
    <row r="688" spans="1:11">
      <c r="A688" s="339">
        <v>683</v>
      </c>
      <c r="B688" s="340"/>
      <c r="C688" s="340"/>
      <c r="D688" s="340"/>
      <c r="E688" s="340"/>
      <c r="F688" s="341"/>
      <c r="G688" s="341"/>
      <c r="H688" s="342"/>
      <c r="I688" s="340"/>
      <c r="J688" s="343"/>
      <c r="K688" s="344"/>
    </row>
    <row r="689" spans="1:11">
      <c r="A689" s="339">
        <v>684</v>
      </c>
      <c r="B689" s="340"/>
      <c r="C689" s="340"/>
      <c r="D689" s="340"/>
      <c r="E689" s="340"/>
      <c r="F689" s="341"/>
      <c r="G689" s="341"/>
      <c r="H689" s="342"/>
      <c r="I689" s="340"/>
      <c r="J689" s="343"/>
      <c r="K689" s="344"/>
    </row>
    <row r="690" spans="1:11">
      <c r="A690" s="339">
        <v>685</v>
      </c>
      <c r="B690" s="340"/>
      <c r="C690" s="340"/>
      <c r="D690" s="340"/>
      <c r="E690" s="340"/>
      <c r="F690" s="341"/>
      <c r="G690" s="341"/>
      <c r="H690" s="342"/>
      <c r="I690" s="340"/>
      <c r="J690" s="343"/>
      <c r="K690" s="344"/>
    </row>
    <row r="691" spans="1:11">
      <c r="A691" s="339">
        <v>686</v>
      </c>
      <c r="B691" s="340"/>
      <c r="C691" s="340"/>
      <c r="D691" s="340"/>
      <c r="E691" s="340"/>
      <c r="F691" s="341"/>
      <c r="G691" s="341"/>
      <c r="H691" s="342"/>
      <c r="I691" s="340"/>
      <c r="J691" s="343"/>
      <c r="K691" s="344"/>
    </row>
    <row r="692" spans="1:11">
      <c r="A692" s="339">
        <v>687</v>
      </c>
      <c r="B692" s="340"/>
      <c r="C692" s="340"/>
      <c r="D692" s="340"/>
      <c r="E692" s="340"/>
      <c r="F692" s="341"/>
      <c r="G692" s="341"/>
      <c r="H692" s="342"/>
      <c r="I692" s="340"/>
      <c r="J692" s="343"/>
      <c r="K692" s="344"/>
    </row>
    <row r="693" spans="1:11">
      <c r="A693" s="339">
        <v>688</v>
      </c>
      <c r="B693" s="340"/>
      <c r="C693" s="340"/>
      <c r="D693" s="340"/>
      <c r="E693" s="340"/>
      <c r="F693" s="341"/>
      <c r="G693" s="341"/>
      <c r="H693" s="342"/>
      <c r="I693" s="340"/>
      <c r="J693" s="343"/>
      <c r="K693" s="344"/>
    </row>
    <row r="694" spans="1:11">
      <c r="A694" s="339">
        <v>689</v>
      </c>
      <c r="B694" s="340"/>
      <c r="C694" s="340"/>
      <c r="D694" s="340"/>
      <c r="E694" s="340"/>
      <c r="F694" s="341"/>
      <c r="G694" s="341"/>
      <c r="H694" s="342"/>
      <c r="I694" s="340"/>
      <c r="J694" s="343"/>
      <c r="K694" s="344"/>
    </row>
    <row r="695" spans="1:11">
      <c r="A695" s="339">
        <v>690</v>
      </c>
      <c r="B695" s="340"/>
      <c r="C695" s="340"/>
      <c r="D695" s="340"/>
      <c r="E695" s="340"/>
      <c r="F695" s="341"/>
      <c r="G695" s="341"/>
      <c r="H695" s="342"/>
      <c r="I695" s="340"/>
      <c r="J695" s="343"/>
      <c r="K695" s="344"/>
    </row>
    <row r="696" spans="1:11">
      <c r="A696" s="339">
        <v>691</v>
      </c>
      <c r="B696" s="340"/>
      <c r="C696" s="340"/>
      <c r="D696" s="340"/>
      <c r="E696" s="340"/>
      <c r="F696" s="341"/>
      <c r="G696" s="341"/>
      <c r="H696" s="342"/>
      <c r="I696" s="340"/>
      <c r="J696" s="343"/>
      <c r="K696" s="344"/>
    </row>
    <row r="697" spans="1:11">
      <c r="A697" s="339">
        <v>692</v>
      </c>
      <c r="B697" s="340"/>
      <c r="C697" s="340"/>
      <c r="D697" s="340"/>
      <c r="E697" s="340"/>
      <c r="F697" s="341"/>
      <c r="G697" s="341"/>
      <c r="H697" s="342"/>
      <c r="I697" s="340"/>
      <c r="J697" s="343"/>
      <c r="K697" s="344"/>
    </row>
    <row r="698" spans="1:11">
      <c r="A698" s="339">
        <v>693</v>
      </c>
      <c r="B698" s="340"/>
      <c r="C698" s="340"/>
      <c r="D698" s="340"/>
      <c r="E698" s="340"/>
      <c r="F698" s="341"/>
      <c r="G698" s="341"/>
      <c r="H698" s="342"/>
      <c r="I698" s="340"/>
      <c r="J698" s="343"/>
      <c r="K698" s="344"/>
    </row>
    <row r="699" spans="1:11">
      <c r="A699" s="339">
        <v>694</v>
      </c>
      <c r="B699" s="340"/>
      <c r="C699" s="340"/>
      <c r="D699" s="340"/>
      <c r="E699" s="340"/>
      <c r="F699" s="341"/>
      <c r="G699" s="341"/>
      <c r="H699" s="342"/>
      <c r="I699" s="340"/>
      <c r="J699" s="343"/>
      <c r="K699" s="344"/>
    </row>
    <row r="700" spans="1:11">
      <c r="A700" s="339">
        <v>695</v>
      </c>
      <c r="B700" s="340"/>
      <c r="C700" s="340"/>
      <c r="D700" s="340"/>
      <c r="E700" s="340"/>
      <c r="F700" s="341"/>
      <c r="G700" s="341"/>
      <c r="H700" s="342"/>
      <c r="I700" s="340"/>
      <c r="J700" s="343"/>
      <c r="K700" s="344"/>
    </row>
    <row r="701" spans="1:11">
      <c r="A701" s="339">
        <v>696</v>
      </c>
      <c r="B701" s="340"/>
      <c r="C701" s="340"/>
      <c r="D701" s="340"/>
      <c r="E701" s="340"/>
      <c r="F701" s="341"/>
      <c r="G701" s="341"/>
      <c r="H701" s="342"/>
      <c r="I701" s="340"/>
      <c r="J701" s="343"/>
      <c r="K701" s="344"/>
    </row>
    <row r="702" spans="1:11">
      <c r="A702" s="339">
        <v>697</v>
      </c>
      <c r="B702" s="340"/>
      <c r="C702" s="340"/>
      <c r="D702" s="340"/>
      <c r="E702" s="340"/>
      <c r="F702" s="341"/>
      <c r="G702" s="341"/>
      <c r="H702" s="342"/>
      <c r="I702" s="340"/>
      <c r="J702" s="343"/>
      <c r="K702" s="344"/>
    </row>
    <row r="703" spans="1:11">
      <c r="A703" s="339">
        <v>698</v>
      </c>
      <c r="B703" s="340"/>
      <c r="C703" s="340"/>
      <c r="D703" s="340"/>
      <c r="E703" s="340"/>
      <c r="F703" s="341"/>
      <c r="G703" s="341"/>
      <c r="H703" s="342"/>
      <c r="I703" s="340"/>
      <c r="J703" s="343"/>
      <c r="K703" s="344"/>
    </row>
    <row r="704" spans="1:11">
      <c r="A704" s="339">
        <v>699</v>
      </c>
      <c r="B704" s="340"/>
      <c r="C704" s="340"/>
      <c r="D704" s="340"/>
      <c r="E704" s="340"/>
      <c r="F704" s="341"/>
      <c r="G704" s="341"/>
      <c r="H704" s="342"/>
      <c r="I704" s="340"/>
      <c r="J704" s="343"/>
      <c r="K704" s="344"/>
    </row>
    <row r="705" spans="1:11">
      <c r="A705" s="339">
        <v>700</v>
      </c>
      <c r="B705" s="340"/>
      <c r="C705" s="340"/>
      <c r="D705" s="340"/>
      <c r="E705" s="340"/>
      <c r="F705" s="341"/>
      <c r="G705" s="341"/>
      <c r="H705" s="342"/>
      <c r="I705" s="340"/>
      <c r="J705" s="343"/>
      <c r="K705" s="344"/>
    </row>
    <row r="706" spans="1:11">
      <c r="A706" s="339">
        <v>701</v>
      </c>
      <c r="B706" s="340"/>
      <c r="C706" s="340"/>
      <c r="D706" s="340"/>
      <c r="E706" s="340"/>
      <c r="F706" s="341"/>
      <c r="G706" s="341"/>
      <c r="H706" s="342"/>
      <c r="I706" s="340"/>
      <c r="J706" s="343"/>
      <c r="K706" s="344"/>
    </row>
    <row r="707" spans="1:11">
      <c r="A707" s="339">
        <v>702</v>
      </c>
      <c r="B707" s="340"/>
      <c r="C707" s="340"/>
      <c r="D707" s="340"/>
      <c r="E707" s="340"/>
      <c r="F707" s="341"/>
      <c r="G707" s="341"/>
      <c r="H707" s="342"/>
      <c r="I707" s="340"/>
      <c r="J707" s="343"/>
      <c r="K707" s="344"/>
    </row>
    <row r="708" spans="1:11">
      <c r="A708" s="339">
        <v>703</v>
      </c>
      <c r="B708" s="340"/>
      <c r="C708" s="340"/>
      <c r="D708" s="340"/>
      <c r="E708" s="340"/>
      <c r="F708" s="341"/>
      <c r="G708" s="341"/>
      <c r="H708" s="342"/>
      <c r="I708" s="340"/>
      <c r="J708" s="343"/>
      <c r="K708" s="344"/>
    </row>
    <row r="709" spans="1:11">
      <c r="A709" s="339">
        <v>704</v>
      </c>
      <c r="B709" s="340"/>
      <c r="C709" s="340"/>
      <c r="D709" s="340"/>
      <c r="E709" s="340"/>
      <c r="F709" s="341"/>
      <c r="G709" s="341"/>
      <c r="H709" s="342"/>
      <c r="I709" s="340"/>
      <c r="J709" s="343"/>
      <c r="K709" s="344"/>
    </row>
    <row r="710" spans="1:11">
      <c r="A710" s="339">
        <v>705</v>
      </c>
      <c r="B710" s="340"/>
      <c r="C710" s="340"/>
      <c r="D710" s="340"/>
      <c r="E710" s="340"/>
      <c r="F710" s="341"/>
      <c r="G710" s="341"/>
      <c r="H710" s="342"/>
      <c r="I710" s="340"/>
      <c r="J710" s="343"/>
      <c r="K710" s="344"/>
    </row>
    <row r="711" spans="1:11">
      <c r="A711" s="339">
        <v>706</v>
      </c>
      <c r="B711" s="340"/>
      <c r="C711" s="340"/>
      <c r="D711" s="340"/>
      <c r="E711" s="340"/>
      <c r="F711" s="341"/>
      <c r="G711" s="341"/>
      <c r="H711" s="342"/>
      <c r="I711" s="340"/>
      <c r="J711" s="343"/>
      <c r="K711" s="344"/>
    </row>
    <row r="712" spans="1:11">
      <c r="A712" s="339">
        <v>707</v>
      </c>
      <c r="B712" s="340"/>
      <c r="C712" s="340"/>
      <c r="D712" s="340"/>
      <c r="E712" s="340"/>
      <c r="F712" s="341"/>
      <c r="G712" s="341"/>
      <c r="H712" s="342"/>
      <c r="I712" s="340"/>
      <c r="J712" s="343"/>
      <c r="K712" s="344"/>
    </row>
    <row r="713" spans="1:11">
      <c r="A713" s="339">
        <v>708</v>
      </c>
      <c r="B713" s="340"/>
      <c r="C713" s="340"/>
      <c r="D713" s="340"/>
      <c r="E713" s="340"/>
      <c r="F713" s="341"/>
      <c r="G713" s="341"/>
      <c r="H713" s="342"/>
      <c r="I713" s="340"/>
      <c r="J713" s="343"/>
      <c r="K713" s="344"/>
    </row>
    <row r="714" spans="1:11">
      <c r="A714" s="339">
        <v>709</v>
      </c>
      <c r="B714" s="340"/>
      <c r="C714" s="340"/>
      <c r="D714" s="340"/>
      <c r="E714" s="340"/>
      <c r="F714" s="341"/>
      <c r="G714" s="341"/>
      <c r="H714" s="342"/>
      <c r="I714" s="340"/>
      <c r="J714" s="343"/>
      <c r="K714" s="344"/>
    </row>
    <row r="715" spans="1:11">
      <c r="A715" s="339">
        <v>710</v>
      </c>
      <c r="B715" s="340"/>
      <c r="C715" s="340"/>
      <c r="D715" s="340"/>
      <c r="E715" s="340"/>
      <c r="F715" s="341"/>
      <c r="G715" s="341"/>
      <c r="H715" s="342"/>
      <c r="I715" s="340"/>
      <c r="J715" s="343"/>
      <c r="K715" s="344"/>
    </row>
    <row r="716" spans="1:11">
      <c r="A716" s="339">
        <v>711</v>
      </c>
      <c r="B716" s="340"/>
      <c r="C716" s="340"/>
      <c r="D716" s="340"/>
      <c r="E716" s="340"/>
      <c r="F716" s="341"/>
      <c r="G716" s="341"/>
      <c r="H716" s="342"/>
      <c r="I716" s="340"/>
      <c r="J716" s="343"/>
      <c r="K716" s="344"/>
    </row>
    <row r="717" spans="1:11">
      <c r="A717" s="339">
        <v>712</v>
      </c>
      <c r="B717" s="340"/>
      <c r="C717" s="340"/>
      <c r="D717" s="340"/>
      <c r="E717" s="340"/>
      <c r="F717" s="341"/>
      <c r="G717" s="341"/>
      <c r="H717" s="342"/>
      <c r="I717" s="340"/>
      <c r="J717" s="343"/>
      <c r="K717" s="344"/>
    </row>
    <row r="718" spans="1:11">
      <c r="A718" s="339">
        <v>713</v>
      </c>
      <c r="B718" s="340"/>
      <c r="C718" s="340"/>
      <c r="D718" s="340"/>
      <c r="E718" s="340"/>
      <c r="F718" s="341"/>
      <c r="G718" s="341"/>
      <c r="H718" s="342"/>
      <c r="I718" s="340"/>
      <c r="J718" s="343"/>
      <c r="K718" s="344"/>
    </row>
    <row r="719" spans="1:11">
      <c r="A719" s="339">
        <v>714</v>
      </c>
      <c r="B719" s="340"/>
      <c r="C719" s="340"/>
      <c r="D719" s="340"/>
      <c r="E719" s="340"/>
      <c r="F719" s="341"/>
      <c r="G719" s="341"/>
      <c r="H719" s="342"/>
      <c r="I719" s="340"/>
      <c r="J719" s="343"/>
      <c r="K719" s="344"/>
    </row>
    <row r="720" spans="1:11">
      <c r="A720" s="339">
        <v>715</v>
      </c>
      <c r="B720" s="340"/>
      <c r="C720" s="340"/>
      <c r="D720" s="340"/>
      <c r="E720" s="340"/>
      <c r="F720" s="341"/>
      <c r="G720" s="341"/>
      <c r="H720" s="342"/>
      <c r="I720" s="340"/>
      <c r="J720" s="343"/>
      <c r="K720" s="344"/>
    </row>
    <row r="721" spans="1:11">
      <c r="A721" s="339">
        <v>716</v>
      </c>
      <c r="B721" s="340"/>
      <c r="C721" s="340"/>
      <c r="D721" s="340"/>
      <c r="E721" s="340"/>
      <c r="F721" s="341"/>
      <c r="G721" s="341"/>
      <c r="H721" s="342"/>
      <c r="I721" s="340"/>
      <c r="J721" s="343"/>
      <c r="K721" s="344"/>
    </row>
    <row r="722" spans="1:11">
      <c r="A722" s="339">
        <v>717</v>
      </c>
      <c r="B722" s="340"/>
      <c r="C722" s="340"/>
      <c r="D722" s="340"/>
      <c r="E722" s="340"/>
      <c r="F722" s="341"/>
      <c r="G722" s="341"/>
      <c r="H722" s="342"/>
      <c r="I722" s="340"/>
      <c r="J722" s="343"/>
      <c r="K722" s="344"/>
    </row>
    <row r="723" spans="1:11">
      <c r="A723" s="339">
        <v>718</v>
      </c>
      <c r="B723" s="340"/>
      <c r="C723" s="340"/>
      <c r="D723" s="340"/>
      <c r="E723" s="340"/>
      <c r="F723" s="341"/>
      <c r="G723" s="341"/>
      <c r="H723" s="342"/>
      <c r="I723" s="340"/>
      <c r="J723" s="343"/>
      <c r="K723" s="344"/>
    </row>
    <row r="724" spans="1:11">
      <c r="A724" s="339">
        <v>719</v>
      </c>
      <c r="B724" s="340"/>
      <c r="C724" s="340"/>
      <c r="D724" s="340"/>
      <c r="E724" s="340"/>
      <c r="F724" s="341"/>
      <c r="G724" s="341"/>
      <c r="H724" s="342"/>
      <c r="I724" s="340"/>
      <c r="J724" s="343"/>
      <c r="K724" s="344"/>
    </row>
    <row r="725" spans="1:11">
      <c r="A725" s="339">
        <v>720</v>
      </c>
      <c r="B725" s="340"/>
      <c r="C725" s="340"/>
      <c r="D725" s="340"/>
      <c r="E725" s="340"/>
      <c r="F725" s="341"/>
      <c r="G725" s="341"/>
      <c r="H725" s="342"/>
      <c r="I725" s="340"/>
      <c r="J725" s="343"/>
      <c r="K725" s="344"/>
    </row>
    <row r="726" spans="1:11">
      <c r="A726" s="339">
        <v>721</v>
      </c>
      <c r="B726" s="340"/>
      <c r="C726" s="340"/>
      <c r="D726" s="340"/>
      <c r="E726" s="340"/>
      <c r="F726" s="341"/>
      <c r="G726" s="341"/>
      <c r="H726" s="342"/>
      <c r="I726" s="340"/>
      <c r="J726" s="343"/>
      <c r="K726" s="344"/>
    </row>
    <row r="727" spans="1:11">
      <c r="A727" s="339">
        <v>722</v>
      </c>
      <c r="B727" s="340"/>
      <c r="C727" s="340"/>
      <c r="D727" s="340"/>
      <c r="E727" s="340"/>
      <c r="F727" s="341"/>
      <c r="G727" s="341"/>
      <c r="H727" s="342"/>
      <c r="I727" s="340"/>
      <c r="J727" s="343"/>
      <c r="K727" s="344"/>
    </row>
    <row r="728" spans="1:11">
      <c r="A728" s="339">
        <v>723</v>
      </c>
      <c r="B728" s="340"/>
      <c r="C728" s="340"/>
      <c r="D728" s="340"/>
      <c r="E728" s="340"/>
      <c r="F728" s="341"/>
      <c r="G728" s="341"/>
      <c r="H728" s="342"/>
      <c r="I728" s="340"/>
      <c r="J728" s="343"/>
      <c r="K728" s="344"/>
    </row>
    <row r="729" spans="1:11">
      <c r="A729" s="339">
        <v>724</v>
      </c>
      <c r="B729" s="340"/>
      <c r="C729" s="340"/>
      <c r="D729" s="340"/>
      <c r="E729" s="340"/>
      <c r="F729" s="341"/>
      <c r="G729" s="341"/>
      <c r="H729" s="342"/>
      <c r="I729" s="340"/>
      <c r="J729" s="343"/>
      <c r="K729" s="344"/>
    </row>
    <row r="730" spans="1:11">
      <c r="A730" s="339">
        <v>725</v>
      </c>
      <c r="B730" s="340"/>
      <c r="C730" s="340"/>
      <c r="D730" s="340"/>
      <c r="E730" s="340"/>
      <c r="F730" s="341"/>
      <c r="G730" s="341"/>
      <c r="H730" s="342"/>
      <c r="I730" s="340"/>
      <c r="J730" s="343"/>
      <c r="K730" s="344"/>
    </row>
    <row r="731" spans="1:11">
      <c r="A731" s="339">
        <v>726</v>
      </c>
      <c r="B731" s="340"/>
      <c r="C731" s="340"/>
      <c r="D731" s="340"/>
      <c r="E731" s="340"/>
      <c r="F731" s="341"/>
      <c r="G731" s="341"/>
      <c r="H731" s="342"/>
      <c r="I731" s="340"/>
      <c r="J731" s="343"/>
      <c r="K731" s="344"/>
    </row>
    <row r="732" spans="1:11">
      <c r="A732" s="339">
        <v>727</v>
      </c>
      <c r="B732" s="340"/>
      <c r="C732" s="340"/>
      <c r="D732" s="340"/>
      <c r="E732" s="340"/>
      <c r="F732" s="341"/>
      <c r="G732" s="341"/>
      <c r="H732" s="342"/>
      <c r="I732" s="340"/>
      <c r="J732" s="343"/>
      <c r="K732" s="344"/>
    </row>
    <row r="733" spans="1:11">
      <c r="A733" s="339">
        <v>728</v>
      </c>
      <c r="B733" s="340"/>
      <c r="C733" s="340"/>
      <c r="D733" s="340"/>
      <c r="E733" s="340"/>
      <c r="F733" s="341"/>
      <c r="G733" s="341"/>
      <c r="H733" s="342"/>
      <c r="I733" s="340"/>
      <c r="J733" s="343"/>
      <c r="K733" s="344"/>
    </row>
    <row r="734" spans="1:11">
      <c r="A734" s="339">
        <v>729</v>
      </c>
      <c r="B734" s="340"/>
      <c r="C734" s="340"/>
      <c r="D734" s="340"/>
      <c r="E734" s="340"/>
      <c r="F734" s="341"/>
      <c r="G734" s="341"/>
      <c r="H734" s="342"/>
      <c r="I734" s="340"/>
      <c r="J734" s="343"/>
      <c r="K734" s="344"/>
    </row>
    <row r="735" spans="1:11">
      <c r="A735" s="339">
        <v>730</v>
      </c>
      <c r="B735" s="340"/>
      <c r="C735" s="340"/>
      <c r="D735" s="340"/>
      <c r="E735" s="340"/>
      <c r="F735" s="341"/>
      <c r="G735" s="341"/>
      <c r="H735" s="342"/>
      <c r="I735" s="340"/>
      <c r="J735" s="343"/>
      <c r="K735" s="344"/>
    </row>
    <row r="736" spans="1:11">
      <c r="A736" s="339">
        <v>731</v>
      </c>
      <c r="B736" s="340"/>
      <c r="C736" s="340"/>
      <c r="D736" s="340"/>
      <c r="E736" s="340"/>
      <c r="F736" s="341"/>
      <c r="G736" s="341"/>
      <c r="H736" s="342"/>
      <c r="I736" s="340"/>
      <c r="J736" s="343"/>
      <c r="K736" s="344"/>
    </row>
    <row r="737" spans="1:11">
      <c r="A737" s="339">
        <v>732</v>
      </c>
      <c r="B737" s="340"/>
      <c r="C737" s="340"/>
      <c r="D737" s="340"/>
      <c r="E737" s="340"/>
      <c r="F737" s="341"/>
      <c r="G737" s="341"/>
      <c r="H737" s="342"/>
      <c r="I737" s="340"/>
      <c r="J737" s="343"/>
      <c r="K737" s="344"/>
    </row>
    <row r="738" spans="1:11">
      <c r="A738" s="339">
        <v>733</v>
      </c>
      <c r="B738" s="340"/>
      <c r="C738" s="340"/>
      <c r="D738" s="340"/>
      <c r="E738" s="340"/>
      <c r="F738" s="341"/>
      <c r="G738" s="341"/>
      <c r="H738" s="342"/>
      <c r="I738" s="340"/>
      <c r="J738" s="343"/>
      <c r="K738" s="344"/>
    </row>
    <row r="739" spans="1:11">
      <c r="A739" s="339">
        <v>734</v>
      </c>
      <c r="B739" s="340"/>
      <c r="C739" s="340"/>
      <c r="D739" s="340"/>
      <c r="E739" s="340"/>
      <c r="F739" s="341"/>
      <c r="G739" s="341"/>
      <c r="H739" s="342"/>
      <c r="I739" s="340"/>
      <c r="J739" s="343"/>
      <c r="K739" s="344"/>
    </row>
    <row r="740" spans="1:11">
      <c r="A740" s="339">
        <v>735</v>
      </c>
      <c r="B740" s="340"/>
      <c r="C740" s="340"/>
      <c r="D740" s="340"/>
      <c r="E740" s="340"/>
      <c r="F740" s="341"/>
      <c r="G740" s="341"/>
      <c r="H740" s="342"/>
      <c r="I740" s="340"/>
      <c r="J740" s="343"/>
      <c r="K740" s="344"/>
    </row>
    <row r="741" spans="1:11">
      <c r="A741" s="339">
        <v>736</v>
      </c>
      <c r="B741" s="340"/>
      <c r="C741" s="340"/>
      <c r="D741" s="340"/>
      <c r="E741" s="340"/>
      <c r="F741" s="341"/>
      <c r="G741" s="341"/>
      <c r="H741" s="342"/>
      <c r="I741" s="340"/>
      <c r="J741" s="343"/>
      <c r="K741" s="344"/>
    </row>
    <row r="742" spans="1:11">
      <c r="A742" s="339">
        <v>737</v>
      </c>
      <c r="B742" s="340"/>
      <c r="C742" s="340"/>
      <c r="D742" s="340"/>
      <c r="E742" s="340"/>
      <c r="F742" s="341"/>
      <c r="G742" s="341"/>
      <c r="H742" s="342"/>
      <c r="I742" s="340"/>
      <c r="J742" s="343"/>
      <c r="K742" s="344"/>
    </row>
    <row r="743" spans="1:11">
      <c r="A743" s="339">
        <v>738</v>
      </c>
      <c r="B743" s="340"/>
      <c r="C743" s="340"/>
      <c r="D743" s="340"/>
      <c r="E743" s="340"/>
      <c r="F743" s="341"/>
      <c r="G743" s="341"/>
      <c r="H743" s="342"/>
      <c r="I743" s="340"/>
      <c r="J743" s="343"/>
      <c r="K743" s="344"/>
    </row>
    <row r="744" spans="1:11">
      <c r="A744" s="339">
        <v>739</v>
      </c>
      <c r="B744" s="340"/>
      <c r="C744" s="340"/>
      <c r="D744" s="340"/>
      <c r="E744" s="340"/>
      <c r="F744" s="341"/>
      <c r="G744" s="341"/>
      <c r="H744" s="342"/>
      <c r="I744" s="340"/>
      <c r="J744" s="343"/>
      <c r="K744" s="344"/>
    </row>
    <row r="745" spans="1:11">
      <c r="A745" s="339">
        <v>740</v>
      </c>
      <c r="B745" s="340"/>
      <c r="C745" s="340"/>
      <c r="D745" s="340"/>
      <c r="E745" s="340"/>
      <c r="F745" s="341"/>
      <c r="G745" s="341"/>
      <c r="H745" s="342"/>
      <c r="I745" s="340"/>
      <c r="J745" s="343"/>
      <c r="K745" s="344"/>
    </row>
    <row r="746" spans="1:11">
      <c r="A746" s="339">
        <v>741</v>
      </c>
      <c r="B746" s="340"/>
      <c r="C746" s="340"/>
      <c r="D746" s="340"/>
      <c r="E746" s="340"/>
      <c r="F746" s="341"/>
      <c r="G746" s="341"/>
      <c r="H746" s="342"/>
      <c r="I746" s="340"/>
      <c r="J746" s="343"/>
      <c r="K746" s="344"/>
    </row>
    <row r="747" spans="1:11">
      <c r="A747" s="339">
        <v>742</v>
      </c>
      <c r="B747" s="340"/>
      <c r="C747" s="340"/>
      <c r="D747" s="340"/>
      <c r="E747" s="340"/>
      <c r="F747" s="341"/>
      <c r="G747" s="341"/>
      <c r="H747" s="342"/>
      <c r="I747" s="340"/>
      <c r="J747" s="343"/>
      <c r="K747" s="344"/>
    </row>
    <row r="748" spans="1:11">
      <c r="A748" s="339">
        <v>743</v>
      </c>
      <c r="B748" s="340"/>
      <c r="C748" s="340"/>
      <c r="D748" s="340"/>
      <c r="E748" s="340"/>
      <c r="F748" s="341"/>
      <c r="G748" s="341"/>
      <c r="H748" s="342"/>
      <c r="I748" s="340"/>
      <c r="J748" s="343"/>
      <c r="K748" s="344"/>
    </row>
    <row r="749" spans="1:11">
      <c r="A749" s="339">
        <v>744</v>
      </c>
      <c r="B749" s="340"/>
      <c r="C749" s="340"/>
      <c r="D749" s="340"/>
      <c r="E749" s="340"/>
      <c r="F749" s="341"/>
      <c r="G749" s="341"/>
      <c r="H749" s="342"/>
      <c r="I749" s="340"/>
      <c r="J749" s="343"/>
      <c r="K749" s="344"/>
    </row>
    <row r="750" spans="1:11">
      <c r="A750" s="339">
        <v>745</v>
      </c>
      <c r="B750" s="340"/>
      <c r="C750" s="340"/>
      <c r="D750" s="340"/>
      <c r="E750" s="340"/>
      <c r="F750" s="341"/>
      <c r="G750" s="341"/>
      <c r="H750" s="342"/>
      <c r="I750" s="340"/>
      <c r="J750" s="343"/>
      <c r="K750" s="344"/>
    </row>
    <row r="751" spans="1:11">
      <c r="A751" s="339">
        <v>746</v>
      </c>
      <c r="B751" s="340"/>
      <c r="C751" s="340"/>
      <c r="D751" s="340"/>
      <c r="E751" s="340"/>
      <c r="F751" s="341"/>
      <c r="G751" s="341"/>
      <c r="H751" s="342"/>
      <c r="I751" s="340"/>
      <c r="J751" s="343"/>
      <c r="K751" s="344"/>
    </row>
    <row r="752" spans="1:11">
      <c r="A752" s="339">
        <v>747</v>
      </c>
      <c r="B752" s="340"/>
      <c r="C752" s="340"/>
      <c r="D752" s="340"/>
      <c r="E752" s="340"/>
      <c r="F752" s="341"/>
      <c r="G752" s="341"/>
      <c r="H752" s="342"/>
      <c r="I752" s="340"/>
      <c r="J752" s="343"/>
      <c r="K752" s="344"/>
    </row>
    <row r="753" spans="1:11">
      <c r="A753" s="339">
        <v>748</v>
      </c>
      <c r="B753" s="340"/>
      <c r="C753" s="340"/>
      <c r="D753" s="340"/>
      <c r="E753" s="340"/>
      <c r="F753" s="341"/>
      <c r="G753" s="341"/>
      <c r="H753" s="342"/>
      <c r="I753" s="340"/>
      <c r="J753" s="343"/>
      <c r="K753" s="344"/>
    </row>
    <row r="754" spans="1:11">
      <c r="A754" s="339">
        <v>749</v>
      </c>
      <c r="B754" s="340"/>
      <c r="C754" s="340"/>
      <c r="D754" s="340"/>
      <c r="E754" s="340"/>
      <c r="F754" s="341"/>
      <c r="G754" s="341"/>
      <c r="H754" s="342"/>
      <c r="I754" s="340"/>
      <c r="J754" s="343"/>
      <c r="K754" s="344"/>
    </row>
    <row r="755" spans="1:11">
      <c r="A755" s="339">
        <v>750</v>
      </c>
      <c r="B755" s="340"/>
      <c r="C755" s="340"/>
      <c r="D755" s="340"/>
      <c r="E755" s="340"/>
      <c r="F755" s="341"/>
      <c r="G755" s="341"/>
      <c r="H755" s="342"/>
      <c r="I755" s="340"/>
      <c r="J755" s="343"/>
      <c r="K755" s="344"/>
    </row>
    <row r="756" spans="1:11">
      <c r="A756" s="339">
        <v>751</v>
      </c>
      <c r="B756" s="340"/>
      <c r="C756" s="340"/>
      <c r="D756" s="340"/>
      <c r="E756" s="340"/>
      <c r="F756" s="341"/>
      <c r="G756" s="341"/>
      <c r="H756" s="342"/>
      <c r="I756" s="340"/>
      <c r="J756" s="343"/>
      <c r="K756" s="344"/>
    </row>
    <row r="757" spans="1:11">
      <c r="A757" s="339">
        <v>752</v>
      </c>
      <c r="B757" s="340"/>
      <c r="C757" s="340"/>
      <c r="D757" s="340"/>
      <c r="E757" s="340"/>
      <c r="F757" s="341"/>
      <c r="G757" s="341"/>
      <c r="H757" s="342"/>
      <c r="I757" s="340"/>
      <c r="J757" s="343"/>
      <c r="K757" s="344"/>
    </row>
    <row r="758" spans="1:11">
      <c r="A758" s="339">
        <v>753</v>
      </c>
      <c r="B758" s="340"/>
      <c r="C758" s="340"/>
      <c r="D758" s="340"/>
      <c r="E758" s="340"/>
      <c r="F758" s="341"/>
      <c r="G758" s="341"/>
      <c r="H758" s="342"/>
      <c r="I758" s="340"/>
      <c r="J758" s="343"/>
      <c r="K758" s="344"/>
    </row>
    <row r="759" spans="1:11">
      <c r="A759" s="339">
        <v>754</v>
      </c>
      <c r="B759" s="340"/>
      <c r="C759" s="340"/>
      <c r="D759" s="340"/>
      <c r="E759" s="340"/>
      <c r="F759" s="341"/>
      <c r="G759" s="341"/>
      <c r="H759" s="342"/>
      <c r="I759" s="340"/>
      <c r="J759" s="343"/>
      <c r="K759" s="344"/>
    </row>
    <row r="760" spans="1:11">
      <c r="A760" s="339">
        <v>755</v>
      </c>
      <c r="B760" s="340"/>
      <c r="C760" s="340"/>
      <c r="D760" s="340"/>
      <c r="E760" s="340"/>
      <c r="F760" s="341"/>
      <c r="G760" s="341"/>
      <c r="H760" s="342"/>
      <c r="I760" s="340"/>
      <c r="J760" s="343"/>
      <c r="K760" s="344"/>
    </row>
    <row r="761" spans="1:11">
      <c r="A761" s="339">
        <v>756</v>
      </c>
      <c r="B761" s="340"/>
      <c r="C761" s="340"/>
      <c r="D761" s="340"/>
      <c r="E761" s="340"/>
      <c r="F761" s="341"/>
      <c r="G761" s="341"/>
      <c r="H761" s="342"/>
      <c r="I761" s="340"/>
      <c r="J761" s="343"/>
      <c r="K761" s="344"/>
    </row>
    <row r="762" spans="1:11">
      <c r="A762" s="339">
        <v>757</v>
      </c>
      <c r="B762" s="340"/>
      <c r="C762" s="340"/>
      <c r="D762" s="340"/>
      <c r="E762" s="340"/>
      <c r="F762" s="341"/>
      <c r="G762" s="341"/>
      <c r="H762" s="342"/>
      <c r="I762" s="340"/>
      <c r="J762" s="343"/>
      <c r="K762" s="344"/>
    </row>
    <row r="763" spans="1:11">
      <c r="A763" s="339">
        <v>758</v>
      </c>
      <c r="B763" s="340"/>
      <c r="C763" s="340"/>
      <c r="D763" s="340"/>
      <c r="E763" s="340"/>
      <c r="F763" s="341"/>
      <c r="G763" s="341"/>
      <c r="H763" s="342"/>
      <c r="I763" s="340"/>
      <c r="J763" s="343"/>
      <c r="K763" s="344"/>
    </row>
    <row r="764" spans="1:11">
      <c r="A764" s="339">
        <v>759</v>
      </c>
      <c r="B764" s="340"/>
      <c r="C764" s="340"/>
      <c r="D764" s="340"/>
      <c r="E764" s="340"/>
      <c r="F764" s="341"/>
      <c r="G764" s="341"/>
      <c r="H764" s="342"/>
      <c r="I764" s="340"/>
      <c r="J764" s="343"/>
      <c r="K764" s="344"/>
    </row>
    <row r="765" spans="1:11">
      <c r="A765" s="339">
        <v>760</v>
      </c>
      <c r="B765" s="340"/>
      <c r="C765" s="340"/>
      <c r="D765" s="340"/>
      <c r="E765" s="340"/>
      <c r="F765" s="341"/>
      <c r="G765" s="341"/>
      <c r="H765" s="342"/>
      <c r="I765" s="340"/>
      <c r="J765" s="343"/>
      <c r="K765" s="344"/>
    </row>
    <row r="766" spans="1:11">
      <c r="A766" s="339">
        <v>761</v>
      </c>
      <c r="B766" s="340"/>
      <c r="C766" s="340"/>
      <c r="D766" s="340"/>
      <c r="E766" s="340"/>
      <c r="F766" s="341"/>
      <c r="G766" s="341"/>
      <c r="H766" s="342"/>
      <c r="I766" s="340"/>
      <c r="J766" s="343"/>
      <c r="K766" s="344"/>
    </row>
    <row r="767" spans="1:11">
      <c r="A767" s="339">
        <v>762</v>
      </c>
      <c r="B767" s="340"/>
      <c r="C767" s="340"/>
      <c r="D767" s="340"/>
      <c r="E767" s="340"/>
      <c r="F767" s="341"/>
      <c r="G767" s="341"/>
      <c r="H767" s="342"/>
      <c r="I767" s="340"/>
      <c r="J767" s="343"/>
      <c r="K767" s="344"/>
    </row>
    <row r="768" spans="1:11">
      <c r="A768" s="339">
        <v>763</v>
      </c>
      <c r="B768" s="340"/>
      <c r="C768" s="340"/>
      <c r="D768" s="340"/>
      <c r="E768" s="340"/>
      <c r="F768" s="341"/>
      <c r="G768" s="341"/>
      <c r="H768" s="342"/>
      <c r="I768" s="340"/>
      <c r="J768" s="343"/>
      <c r="K768" s="344"/>
    </row>
    <row r="769" spans="1:11">
      <c r="A769" s="339">
        <v>764</v>
      </c>
      <c r="B769" s="340"/>
      <c r="C769" s="340"/>
      <c r="D769" s="340"/>
      <c r="E769" s="340"/>
      <c r="F769" s="341"/>
      <c r="G769" s="341"/>
      <c r="H769" s="342"/>
      <c r="I769" s="340"/>
      <c r="J769" s="343"/>
      <c r="K769" s="344"/>
    </row>
    <row r="770" spans="1:11">
      <c r="A770" s="339">
        <v>765</v>
      </c>
      <c r="B770" s="340"/>
      <c r="C770" s="340"/>
      <c r="D770" s="340"/>
      <c r="E770" s="340"/>
      <c r="F770" s="341"/>
      <c r="G770" s="341"/>
      <c r="H770" s="342"/>
      <c r="I770" s="340"/>
      <c r="J770" s="343"/>
      <c r="K770" s="344"/>
    </row>
    <row r="771" spans="1:11">
      <c r="A771" s="339">
        <v>766</v>
      </c>
      <c r="B771" s="340"/>
      <c r="C771" s="340"/>
      <c r="D771" s="340"/>
      <c r="E771" s="340"/>
      <c r="F771" s="341"/>
      <c r="G771" s="341"/>
      <c r="H771" s="342"/>
      <c r="I771" s="340"/>
      <c r="J771" s="343"/>
      <c r="K771" s="344"/>
    </row>
    <row r="772" spans="1:11">
      <c r="A772" s="339">
        <v>767</v>
      </c>
      <c r="B772" s="340"/>
      <c r="C772" s="340"/>
      <c r="D772" s="340"/>
      <c r="E772" s="340"/>
      <c r="F772" s="341"/>
      <c r="G772" s="341"/>
      <c r="H772" s="342"/>
      <c r="I772" s="340"/>
      <c r="J772" s="343"/>
      <c r="K772" s="344"/>
    </row>
    <row r="773" spans="1:11">
      <c r="A773" s="339">
        <v>768</v>
      </c>
      <c r="B773" s="340"/>
      <c r="C773" s="340"/>
      <c r="D773" s="340"/>
      <c r="E773" s="340"/>
      <c r="F773" s="341"/>
      <c r="G773" s="341"/>
      <c r="H773" s="342"/>
      <c r="I773" s="340"/>
      <c r="J773" s="343"/>
      <c r="K773" s="344"/>
    </row>
    <row r="774" spans="1:11">
      <c r="A774" s="339">
        <v>769</v>
      </c>
      <c r="B774" s="340"/>
      <c r="C774" s="340"/>
      <c r="D774" s="340"/>
      <c r="E774" s="340"/>
      <c r="F774" s="341"/>
      <c r="G774" s="341"/>
      <c r="H774" s="342"/>
      <c r="I774" s="340"/>
      <c r="J774" s="343"/>
      <c r="K774" s="344"/>
    </row>
    <row r="775" spans="1:11">
      <c r="A775" s="339">
        <v>770</v>
      </c>
      <c r="B775" s="340"/>
      <c r="C775" s="340"/>
      <c r="D775" s="340"/>
      <c r="E775" s="340"/>
      <c r="F775" s="341"/>
      <c r="G775" s="341"/>
      <c r="H775" s="342"/>
      <c r="I775" s="340"/>
      <c r="J775" s="343"/>
      <c r="K775" s="344"/>
    </row>
    <row r="776" spans="1:11">
      <c r="A776" s="339">
        <v>771</v>
      </c>
      <c r="B776" s="340"/>
      <c r="C776" s="340"/>
      <c r="D776" s="340"/>
      <c r="E776" s="340"/>
      <c r="F776" s="341"/>
      <c r="G776" s="341"/>
      <c r="H776" s="342"/>
      <c r="I776" s="340"/>
      <c r="J776" s="343"/>
      <c r="K776" s="344"/>
    </row>
    <row r="777" spans="1:11">
      <c r="A777" s="339">
        <v>772</v>
      </c>
      <c r="B777" s="340"/>
      <c r="C777" s="340"/>
      <c r="D777" s="340"/>
      <c r="E777" s="340"/>
      <c r="F777" s="341"/>
      <c r="G777" s="341"/>
      <c r="H777" s="342"/>
      <c r="I777" s="340"/>
      <c r="J777" s="343"/>
      <c r="K777" s="344"/>
    </row>
    <row r="778" spans="1:11">
      <c r="A778" s="339">
        <v>773</v>
      </c>
      <c r="B778" s="340"/>
      <c r="C778" s="340"/>
      <c r="D778" s="340"/>
      <c r="E778" s="340"/>
      <c r="F778" s="341"/>
      <c r="G778" s="341"/>
      <c r="H778" s="342"/>
      <c r="I778" s="340"/>
      <c r="J778" s="343"/>
      <c r="K778" s="344"/>
    </row>
    <row r="779" spans="1:11">
      <c r="A779" s="339">
        <v>774</v>
      </c>
      <c r="B779" s="340"/>
      <c r="C779" s="340"/>
      <c r="D779" s="340"/>
      <c r="E779" s="340"/>
      <c r="F779" s="341"/>
      <c r="G779" s="341"/>
      <c r="H779" s="342"/>
      <c r="I779" s="340"/>
      <c r="J779" s="343"/>
      <c r="K779" s="344"/>
    </row>
    <row r="780" spans="1:11">
      <c r="A780" s="339">
        <v>775</v>
      </c>
      <c r="B780" s="340"/>
      <c r="C780" s="340"/>
      <c r="D780" s="340"/>
      <c r="E780" s="340"/>
      <c r="F780" s="341"/>
      <c r="G780" s="341"/>
      <c r="H780" s="342"/>
      <c r="I780" s="340"/>
      <c r="J780" s="343"/>
      <c r="K780" s="344"/>
    </row>
    <row r="781" spans="1:11">
      <c r="A781" s="339">
        <v>776</v>
      </c>
      <c r="B781" s="340"/>
      <c r="C781" s="340"/>
      <c r="D781" s="340"/>
      <c r="E781" s="340"/>
      <c r="F781" s="341"/>
      <c r="G781" s="341"/>
      <c r="H781" s="342"/>
      <c r="I781" s="340"/>
      <c r="J781" s="343"/>
      <c r="K781" s="344"/>
    </row>
    <row r="782" spans="1:11">
      <c r="A782" s="339">
        <v>777</v>
      </c>
      <c r="B782" s="340"/>
      <c r="C782" s="340"/>
      <c r="D782" s="340"/>
      <c r="E782" s="340"/>
      <c r="F782" s="341"/>
      <c r="G782" s="341"/>
      <c r="H782" s="342"/>
      <c r="I782" s="340"/>
      <c r="J782" s="343"/>
      <c r="K782" s="344"/>
    </row>
    <row r="783" spans="1:11">
      <c r="A783" s="339">
        <v>778</v>
      </c>
      <c r="B783" s="340"/>
      <c r="C783" s="340"/>
      <c r="D783" s="340"/>
      <c r="E783" s="340"/>
      <c r="F783" s="341"/>
      <c r="G783" s="341"/>
      <c r="H783" s="342"/>
      <c r="I783" s="340"/>
      <c r="J783" s="343"/>
      <c r="K783" s="344"/>
    </row>
    <row r="784" spans="1:11">
      <c r="A784" s="339">
        <v>779</v>
      </c>
      <c r="B784" s="340"/>
      <c r="C784" s="340"/>
      <c r="D784" s="340"/>
      <c r="E784" s="340"/>
      <c r="F784" s="341"/>
      <c r="G784" s="341"/>
      <c r="H784" s="342"/>
      <c r="I784" s="340"/>
      <c r="J784" s="343"/>
      <c r="K784" s="344"/>
    </row>
    <row r="785" spans="1:11">
      <c r="A785" s="339">
        <v>780</v>
      </c>
      <c r="B785" s="340"/>
      <c r="C785" s="340"/>
      <c r="D785" s="340"/>
      <c r="E785" s="340"/>
      <c r="F785" s="341"/>
      <c r="G785" s="341"/>
      <c r="H785" s="342"/>
      <c r="I785" s="340"/>
      <c r="J785" s="343"/>
      <c r="K785" s="344"/>
    </row>
    <row r="786" spans="1:11">
      <c r="A786" s="339">
        <v>781</v>
      </c>
      <c r="B786" s="340"/>
      <c r="C786" s="340"/>
      <c r="D786" s="340"/>
      <c r="E786" s="340"/>
      <c r="F786" s="341"/>
      <c r="G786" s="341"/>
      <c r="H786" s="342"/>
      <c r="I786" s="340"/>
      <c r="J786" s="343"/>
      <c r="K786" s="344"/>
    </row>
    <row r="787" spans="1:11">
      <c r="A787" s="339">
        <v>782</v>
      </c>
      <c r="B787" s="340"/>
      <c r="C787" s="340"/>
      <c r="D787" s="340"/>
      <c r="E787" s="340"/>
      <c r="F787" s="341"/>
      <c r="G787" s="341"/>
      <c r="H787" s="342"/>
      <c r="I787" s="340"/>
      <c r="J787" s="343"/>
      <c r="K787" s="344"/>
    </row>
    <row r="788" spans="1:11">
      <c r="A788" s="339">
        <v>783</v>
      </c>
      <c r="B788" s="340"/>
      <c r="C788" s="340"/>
      <c r="D788" s="340"/>
      <c r="E788" s="340"/>
      <c r="F788" s="341"/>
      <c r="G788" s="341"/>
      <c r="H788" s="342"/>
      <c r="I788" s="340"/>
      <c r="J788" s="343"/>
      <c r="K788" s="344"/>
    </row>
    <row r="789" spans="1:11">
      <c r="A789" s="339">
        <v>784</v>
      </c>
      <c r="B789" s="340"/>
      <c r="C789" s="340"/>
      <c r="D789" s="340"/>
      <c r="E789" s="340"/>
      <c r="F789" s="341"/>
      <c r="G789" s="341"/>
      <c r="H789" s="342"/>
      <c r="I789" s="340"/>
      <c r="J789" s="343"/>
      <c r="K789" s="344"/>
    </row>
    <row r="790" spans="1:11">
      <c r="A790" s="339">
        <v>785</v>
      </c>
      <c r="B790" s="340"/>
      <c r="C790" s="340"/>
      <c r="D790" s="340"/>
      <c r="E790" s="340"/>
      <c r="F790" s="341"/>
      <c r="G790" s="341"/>
      <c r="H790" s="342"/>
      <c r="I790" s="340"/>
      <c r="J790" s="343"/>
      <c r="K790" s="344"/>
    </row>
    <row r="791" spans="1:11">
      <c r="A791" s="339">
        <v>786</v>
      </c>
      <c r="B791" s="340"/>
      <c r="C791" s="340"/>
      <c r="D791" s="340"/>
      <c r="E791" s="340"/>
      <c r="F791" s="341"/>
      <c r="G791" s="341"/>
      <c r="H791" s="342"/>
      <c r="I791" s="340"/>
      <c r="J791" s="343"/>
      <c r="K791" s="344"/>
    </row>
    <row r="792" spans="1:11">
      <c r="A792" s="339">
        <v>787</v>
      </c>
      <c r="B792" s="340"/>
      <c r="C792" s="340"/>
      <c r="D792" s="340"/>
      <c r="E792" s="340"/>
      <c r="F792" s="341"/>
      <c r="G792" s="341"/>
      <c r="H792" s="342"/>
      <c r="I792" s="340"/>
      <c r="J792" s="343"/>
      <c r="K792" s="344"/>
    </row>
    <row r="793" spans="1:11">
      <c r="A793" s="339">
        <v>788</v>
      </c>
      <c r="B793" s="340"/>
      <c r="C793" s="340"/>
      <c r="D793" s="340"/>
      <c r="E793" s="340"/>
      <c r="F793" s="341"/>
      <c r="G793" s="341"/>
      <c r="H793" s="342"/>
      <c r="I793" s="340"/>
      <c r="J793" s="343"/>
      <c r="K793" s="344"/>
    </row>
    <row r="794" spans="1:11">
      <c r="A794" s="339">
        <v>789</v>
      </c>
      <c r="B794" s="340"/>
      <c r="C794" s="340"/>
      <c r="D794" s="340"/>
      <c r="E794" s="340"/>
      <c r="F794" s="341"/>
      <c r="G794" s="341"/>
      <c r="H794" s="342"/>
      <c r="I794" s="340"/>
      <c r="J794" s="343"/>
      <c r="K794" s="344"/>
    </row>
    <row r="795" spans="1:11">
      <c r="A795" s="339">
        <v>790</v>
      </c>
      <c r="B795" s="340"/>
      <c r="C795" s="340"/>
      <c r="D795" s="340"/>
      <c r="E795" s="340"/>
      <c r="F795" s="341"/>
      <c r="G795" s="341"/>
      <c r="H795" s="342"/>
      <c r="I795" s="340"/>
      <c r="J795" s="343"/>
      <c r="K795" s="344"/>
    </row>
    <row r="796" spans="1:11">
      <c r="A796" s="339">
        <v>791</v>
      </c>
      <c r="B796" s="340"/>
      <c r="C796" s="340"/>
      <c r="D796" s="340"/>
      <c r="E796" s="340"/>
      <c r="F796" s="341"/>
      <c r="G796" s="341"/>
      <c r="H796" s="342"/>
      <c r="I796" s="340"/>
      <c r="J796" s="343"/>
      <c r="K796" s="344"/>
    </row>
    <row r="797" spans="1:11">
      <c r="A797" s="339">
        <v>792</v>
      </c>
      <c r="B797" s="340"/>
      <c r="C797" s="340"/>
      <c r="D797" s="340"/>
      <c r="E797" s="340"/>
      <c r="F797" s="341"/>
      <c r="G797" s="341"/>
      <c r="H797" s="342"/>
      <c r="I797" s="340"/>
      <c r="J797" s="343"/>
      <c r="K797" s="344"/>
    </row>
    <row r="798" spans="1:11">
      <c r="A798" s="339">
        <v>793</v>
      </c>
      <c r="B798" s="340"/>
      <c r="C798" s="340"/>
      <c r="D798" s="340"/>
      <c r="E798" s="340"/>
      <c r="F798" s="341"/>
      <c r="G798" s="341"/>
      <c r="H798" s="342"/>
      <c r="I798" s="340"/>
      <c r="J798" s="343"/>
      <c r="K798" s="344"/>
    </row>
    <row r="799" spans="1:11">
      <c r="A799" s="339">
        <v>794</v>
      </c>
      <c r="B799" s="340"/>
      <c r="C799" s="340"/>
      <c r="D799" s="340"/>
      <c r="E799" s="340"/>
      <c r="F799" s="341"/>
      <c r="G799" s="341"/>
      <c r="H799" s="342"/>
      <c r="I799" s="340"/>
      <c r="J799" s="343"/>
      <c r="K799" s="344"/>
    </row>
    <row r="800" spans="1:11">
      <c r="A800" s="339">
        <v>795</v>
      </c>
      <c r="B800" s="340"/>
      <c r="C800" s="340"/>
      <c r="D800" s="340"/>
      <c r="E800" s="340"/>
      <c r="F800" s="341"/>
      <c r="G800" s="341"/>
      <c r="H800" s="342"/>
      <c r="I800" s="340"/>
      <c r="J800" s="343"/>
      <c r="K800" s="344"/>
    </row>
    <row r="801" spans="1:11">
      <c r="A801" s="339">
        <v>796</v>
      </c>
      <c r="B801" s="340"/>
      <c r="C801" s="340"/>
      <c r="D801" s="340"/>
      <c r="E801" s="340"/>
      <c r="F801" s="341"/>
      <c r="G801" s="341"/>
      <c r="H801" s="342"/>
      <c r="I801" s="340"/>
      <c r="J801" s="343"/>
      <c r="K801" s="344"/>
    </row>
    <row r="802" spans="1:11">
      <c r="A802" s="339">
        <v>797</v>
      </c>
      <c r="B802" s="340"/>
      <c r="C802" s="340"/>
      <c r="D802" s="340"/>
      <c r="E802" s="340"/>
      <c r="F802" s="341"/>
      <c r="G802" s="341"/>
      <c r="H802" s="342"/>
      <c r="I802" s="340"/>
      <c r="J802" s="343"/>
      <c r="K802" s="344"/>
    </row>
    <row r="803" spans="1:11">
      <c r="A803" s="339">
        <v>798</v>
      </c>
      <c r="B803" s="340"/>
      <c r="C803" s="340"/>
      <c r="D803" s="340"/>
      <c r="E803" s="340"/>
      <c r="F803" s="341"/>
      <c r="G803" s="341"/>
      <c r="H803" s="342"/>
      <c r="I803" s="340"/>
      <c r="J803" s="343"/>
      <c r="K803" s="344"/>
    </row>
    <row r="804" spans="1:11">
      <c r="A804" s="339">
        <v>799</v>
      </c>
      <c r="B804" s="340"/>
      <c r="C804" s="340"/>
      <c r="D804" s="340"/>
      <c r="E804" s="340"/>
      <c r="F804" s="341"/>
      <c r="G804" s="341"/>
      <c r="H804" s="342"/>
      <c r="I804" s="340"/>
      <c r="J804" s="343"/>
      <c r="K804" s="344"/>
    </row>
    <row r="805" spans="1:11">
      <c r="A805" s="339">
        <v>800</v>
      </c>
      <c r="B805" s="340"/>
      <c r="C805" s="340"/>
      <c r="D805" s="340"/>
      <c r="E805" s="340"/>
      <c r="F805" s="341"/>
      <c r="G805" s="341"/>
      <c r="H805" s="342"/>
      <c r="I805" s="340"/>
      <c r="J805" s="343"/>
      <c r="K805" s="344"/>
    </row>
    <row r="806" spans="1:11">
      <c r="A806" s="339">
        <v>801</v>
      </c>
      <c r="B806" s="340"/>
      <c r="C806" s="340"/>
      <c r="D806" s="340"/>
      <c r="E806" s="340"/>
      <c r="F806" s="341"/>
      <c r="G806" s="341"/>
      <c r="H806" s="342"/>
      <c r="I806" s="340"/>
      <c r="J806" s="343"/>
      <c r="K806" s="344"/>
    </row>
    <row r="807" spans="1:11">
      <c r="A807" s="339">
        <v>802</v>
      </c>
      <c r="B807" s="340"/>
      <c r="C807" s="340"/>
      <c r="D807" s="340"/>
      <c r="E807" s="340"/>
      <c r="F807" s="341"/>
      <c r="G807" s="341"/>
      <c r="H807" s="342"/>
      <c r="I807" s="340"/>
      <c r="J807" s="343"/>
      <c r="K807" s="344"/>
    </row>
    <row r="808" spans="1:11">
      <c r="A808" s="339">
        <v>803</v>
      </c>
      <c r="B808" s="340"/>
      <c r="C808" s="340"/>
      <c r="D808" s="340"/>
      <c r="E808" s="340"/>
      <c r="F808" s="341"/>
      <c r="G808" s="341"/>
      <c r="H808" s="342"/>
      <c r="I808" s="340"/>
      <c r="J808" s="343"/>
      <c r="K808" s="344"/>
    </row>
    <row r="809" spans="1:11">
      <c r="A809" s="339">
        <v>804</v>
      </c>
      <c r="B809" s="340"/>
      <c r="C809" s="340"/>
      <c r="D809" s="340"/>
      <c r="E809" s="340"/>
      <c r="F809" s="341"/>
      <c r="G809" s="341"/>
      <c r="H809" s="342"/>
      <c r="I809" s="340"/>
      <c r="J809" s="343"/>
      <c r="K809" s="344"/>
    </row>
    <row r="810" spans="1:11">
      <c r="A810" s="339">
        <v>805</v>
      </c>
      <c r="B810" s="340"/>
      <c r="C810" s="340"/>
      <c r="D810" s="340"/>
      <c r="E810" s="340"/>
      <c r="F810" s="341"/>
      <c r="G810" s="341"/>
      <c r="H810" s="342"/>
      <c r="I810" s="340"/>
      <c r="J810" s="343"/>
      <c r="K810" s="344"/>
    </row>
    <row r="811" spans="1:11">
      <c r="A811" s="339">
        <v>806</v>
      </c>
      <c r="B811" s="340"/>
      <c r="C811" s="340"/>
      <c r="D811" s="340"/>
      <c r="E811" s="340"/>
      <c r="F811" s="341"/>
      <c r="G811" s="341"/>
      <c r="H811" s="342"/>
      <c r="I811" s="340"/>
      <c r="J811" s="343"/>
      <c r="K811" s="344"/>
    </row>
    <row r="812" spans="1:11">
      <c r="A812" s="339">
        <v>807</v>
      </c>
      <c r="B812" s="340"/>
      <c r="C812" s="340"/>
      <c r="D812" s="340"/>
      <c r="E812" s="340"/>
      <c r="F812" s="341"/>
      <c r="G812" s="341"/>
      <c r="H812" s="342"/>
      <c r="I812" s="340"/>
      <c r="J812" s="343"/>
      <c r="K812" s="344"/>
    </row>
    <row r="813" spans="1:11">
      <c r="A813" s="339">
        <v>808</v>
      </c>
      <c r="B813" s="340"/>
      <c r="C813" s="340"/>
      <c r="D813" s="340"/>
      <c r="E813" s="340"/>
      <c r="F813" s="341"/>
      <c r="G813" s="341"/>
      <c r="H813" s="342"/>
      <c r="I813" s="340"/>
      <c r="J813" s="343"/>
      <c r="K813" s="344"/>
    </row>
    <row r="814" spans="1:11">
      <c r="A814" s="339">
        <v>809</v>
      </c>
      <c r="B814" s="340"/>
      <c r="C814" s="340"/>
      <c r="D814" s="340"/>
      <c r="E814" s="340"/>
      <c r="F814" s="341"/>
      <c r="G814" s="341"/>
      <c r="H814" s="342"/>
      <c r="I814" s="340"/>
      <c r="J814" s="343"/>
      <c r="K814" s="344"/>
    </row>
    <row r="815" spans="1:11">
      <c r="A815" s="339">
        <v>810</v>
      </c>
      <c r="B815" s="340"/>
      <c r="C815" s="340"/>
      <c r="D815" s="340"/>
      <c r="E815" s="340"/>
      <c r="F815" s="341"/>
      <c r="G815" s="341"/>
      <c r="H815" s="342"/>
      <c r="I815" s="340"/>
      <c r="J815" s="343"/>
      <c r="K815" s="344"/>
    </row>
    <row r="816" spans="1:11">
      <c r="A816" s="339">
        <v>811</v>
      </c>
      <c r="B816" s="340"/>
      <c r="C816" s="340"/>
      <c r="D816" s="340"/>
      <c r="E816" s="340"/>
      <c r="F816" s="341"/>
      <c r="G816" s="341"/>
      <c r="H816" s="342"/>
      <c r="I816" s="340"/>
      <c r="J816" s="343"/>
      <c r="K816" s="344"/>
    </row>
    <row r="817" spans="1:11">
      <c r="A817" s="339">
        <v>812</v>
      </c>
      <c r="B817" s="340"/>
      <c r="C817" s="340"/>
      <c r="D817" s="340"/>
      <c r="E817" s="340"/>
      <c r="F817" s="341"/>
      <c r="G817" s="341"/>
      <c r="H817" s="342"/>
      <c r="I817" s="340"/>
      <c r="J817" s="343"/>
      <c r="K817" s="344"/>
    </row>
    <row r="818" spans="1:11">
      <c r="A818" s="339">
        <v>813</v>
      </c>
      <c r="B818" s="340"/>
      <c r="C818" s="340"/>
      <c r="D818" s="340"/>
      <c r="E818" s="340"/>
      <c r="F818" s="341"/>
      <c r="G818" s="341"/>
      <c r="H818" s="342"/>
      <c r="I818" s="340"/>
      <c r="J818" s="343"/>
      <c r="K818" s="344"/>
    </row>
    <row r="819" spans="1:11">
      <c r="A819" s="339">
        <v>814</v>
      </c>
      <c r="B819" s="340"/>
      <c r="C819" s="340"/>
      <c r="D819" s="340"/>
      <c r="E819" s="340"/>
      <c r="F819" s="341"/>
      <c r="G819" s="341"/>
      <c r="H819" s="342"/>
      <c r="I819" s="340"/>
      <c r="J819" s="343"/>
      <c r="K819" s="344"/>
    </row>
    <row r="820" spans="1:11">
      <c r="A820" s="339">
        <v>815</v>
      </c>
      <c r="B820" s="340"/>
      <c r="C820" s="340"/>
      <c r="D820" s="340"/>
      <c r="E820" s="340"/>
      <c r="F820" s="341"/>
      <c r="G820" s="341"/>
      <c r="H820" s="342"/>
      <c r="I820" s="340"/>
      <c r="J820" s="343"/>
      <c r="K820" s="344"/>
    </row>
    <row r="821" spans="1:11">
      <c r="A821" s="339">
        <v>816</v>
      </c>
      <c r="B821" s="340"/>
      <c r="C821" s="340"/>
      <c r="D821" s="340"/>
      <c r="E821" s="340"/>
      <c r="F821" s="341"/>
      <c r="G821" s="341"/>
      <c r="H821" s="342"/>
      <c r="I821" s="340"/>
      <c r="J821" s="343"/>
      <c r="K821" s="344"/>
    </row>
    <row r="822" spans="1:11">
      <c r="A822" s="339">
        <v>817</v>
      </c>
      <c r="B822" s="340"/>
      <c r="C822" s="340"/>
      <c r="D822" s="340"/>
      <c r="E822" s="340"/>
      <c r="F822" s="341"/>
      <c r="G822" s="341"/>
      <c r="H822" s="342"/>
      <c r="I822" s="340"/>
      <c r="J822" s="343"/>
      <c r="K822" s="344"/>
    </row>
    <row r="823" spans="1:11">
      <c r="A823" s="339">
        <v>818</v>
      </c>
      <c r="B823" s="340"/>
      <c r="C823" s="340"/>
      <c r="D823" s="340"/>
      <c r="E823" s="340"/>
      <c r="F823" s="341"/>
      <c r="G823" s="341"/>
      <c r="H823" s="342"/>
      <c r="I823" s="340"/>
      <c r="J823" s="343"/>
      <c r="K823" s="344"/>
    </row>
    <row r="824" spans="1:11">
      <c r="A824" s="339">
        <v>819</v>
      </c>
      <c r="B824" s="340"/>
      <c r="C824" s="340"/>
      <c r="D824" s="340"/>
      <c r="E824" s="340"/>
      <c r="F824" s="341"/>
      <c r="G824" s="341"/>
      <c r="H824" s="342"/>
      <c r="I824" s="340"/>
      <c r="J824" s="343"/>
      <c r="K824" s="344"/>
    </row>
    <row r="825" spans="1:11">
      <c r="A825" s="339">
        <v>820</v>
      </c>
      <c r="B825" s="340"/>
      <c r="C825" s="340"/>
      <c r="D825" s="340"/>
      <c r="E825" s="340"/>
      <c r="F825" s="341"/>
      <c r="G825" s="341"/>
      <c r="H825" s="342"/>
      <c r="I825" s="340"/>
      <c r="J825" s="343"/>
      <c r="K825" s="344"/>
    </row>
    <row r="826" spans="1:11">
      <c r="A826" s="339">
        <v>821</v>
      </c>
      <c r="B826" s="340"/>
      <c r="C826" s="340"/>
      <c r="D826" s="340"/>
      <c r="E826" s="340"/>
      <c r="F826" s="341"/>
      <c r="G826" s="341"/>
      <c r="H826" s="342"/>
      <c r="I826" s="340"/>
      <c r="J826" s="343"/>
      <c r="K826" s="344"/>
    </row>
    <row r="827" spans="1:11">
      <c r="A827" s="339">
        <v>822</v>
      </c>
      <c r="B827" s="340"/>
      <c r="C827" s="340"/>
      <c r="D827" s="340"/>
      <c r="E827" s="340"/>
      <c r="F827" s="341"/>
      <c r="G827" s="341"/>
      <c r="H827" s="342"/>
      <c r="I827" s="340"/>
      <c r="J827" s="343"/>
      <c r="K827" s="344"/>
    </row>
    <row r="828" spans="1:11">
      <c r="A828" s="339">
        <v>823</v>
      </c>
      <c r="B828" s="340"/>
      <c r="C828" s="340"/>
      <c r="D828" s="340"/>
      <c r="E828" s="340"/>
      <c r="F828" s="341"/>
      <c r="G828" s="341"/>
      <c r="H828" s="342"/>
      <c r="I828" s="340"/>
      <c r="J828" s="343"/>
      <c r="K828" s="344"/>
    </row>
    <row r="829" spans="1:11">
      <c r="A829" s="339">
        <v>824</v>
      </c>
      <c r="B829" s="340"/>
      <c r="C829" s="340"/>
      <c r="D829" s="340"/>
      <c r="E829" s="340"/>
      <c r="F829" s="341"/>
      <c r="G829" s="341"/>
      <c r="H829" s="342"/>
      <c r="I829" s="340"/>
      <c r="J829" s="343"/>
      <c r="K829" s="344"/>
    </row>
    <row r="830" spans="1:11">
      <c r="A830" s="339">
        <v>825</v>
      </c>
      <c r="B830" s="340"/>
      <c r="C830" s="340"/>
      <c r="D830" s="340"/>
      <c r="E830" s="340"/>
      <c r="F830" s="341"/>
      <c r="G830" s="341"/>
      <c r="H830" s="342"/>
      <c r="I830" s="340"/>
      <c r="J830" s="343"/>
      <c r="K830" s="344"/>
    </row>
    <row r="831" spans="1:11">
      <c r="A831" s="339">
        <v>826</v>
      </c>
      <c r="B831" s="340"/>
      <c r="C831" s="340"/>
      <c r="D831" s="340"/>
      <c r="E831" s="340"/>
      <c r="F831" s="341"/>
      <c r="G831" s="341"/>
      <c r="H831" s="342"/>
      <c r="I831" s="340"/>
      <c r="J831" s="343"/>
      <c r="K831" s="344"/>
    </row>
    <row r="832" spans="1:11">
      <c r="A832" s="339">
        <v>827</v>
      </c>
      <c r="B832" s="340"/>
      <c r="C832" s="340"/>
      <c r="D832" s="340"/>
      <c r="E832" s="340"/>
      <c r="F832" s="341"/>
      <c r="G832" s="341"/>
      <c r="H832" s="342"/>
      <c r="I832" s="340"/>
      <c r="J832" s="343"/>
      <c r="K832" s="344"/>
    </row>
    <row r="833" spans="1:11">
      <c r="A833" s="339">
        <v>828</v>
      </c>
      <c r="B833" s="340"/>
      <c r="C833" s="340"/>
      <c r="D833" s="340"/>
      <c r="E833" s="340"/>
      <c r="F833" s="341"/>
      <c r="G833" s="341"/>
      <c r="H833" s="342"/>
      <c r="I833" s="340"/>
      <c r="J833" s="343"/>
      <c r="K833" s="344"/>
    </row>
    <row r="834" spans="1:11">
      <c r="A834" s="339">
        <v>829</v>
      </c>
      <c r="B834" s="340"/>
      <c r="C834" s="340"/>
      <c r="D834" s="340"/>
      <c r="E834" s="340"/>
      <c r="F834" s="341"/>
      <c r="G834" s="341"/>
      <c r="H834" s="342"/>
      <c r="I834" s="340"/>
      <c r="J834" s="343"/>
      <c r="K834" s="344"/>
    </row>
    <row r="835" spans="1:11">
      <c r="A835" s="339">
        <v>830</v>
      </c>
      <c r="B835" s="340"/>
      <c r="C835" s="340"/>
      <c r="D835" s="340"/>
      <c r="E835" s="340"/>
      <c r="F835" s="341"/>
      <c r="G835" s="341"/>
      <c r="H835" s="342"/>
      <c r="I835" s="340"/>
      <c r="J835" s="343"/>
      <c r="K835" s="344"/>
    </row>
    <row r="836" spans="1:11">
      <c r="A836" s="339">
        <v>831</v>
      </c>
      <c r="B836" s="340"/>
      <c r="C836" s="340"/>
      <c r="D836" s="340"/>
      <c r="E836" s="340"/>
      <c r="F836" s="341"/>
      <c r="G836" s="341"/>
      <c r="H836" s="342"/>
      <c r="I836" s="340"/>
      <c r="J836" s="343"/>
      <c r="K836" s="344"/>
    </row>
    <row r="837" spans="1:11">
      <c r="A837" s="339">
        <v>832</v>
      </c>
      <c r="B837" s="340"/>
      <c r="C837" s="340"/>
      <c r="D837" s="340"/>
      <c r="E837" s="340"/>
      <c r="F837" s="341"/>
      <c r="G837" s="341"/>
      <c r="H837" s="342"/>
      <c r="I837" s="340"/>
      <c r="J837" s="343"/>
      <c r="K837" s="344"/>
    </row>
    <row r="838" spans="1:11">
      <c r="A838" s="339">
        <v>833</v>
      </c>
      <c r="B838" s="340"/>
      <c r="C838" s="340"/>
      <c r="D838" s="340"/>
      <c r="E838" s="340"/>
      <c r="F838" s="341"/>
      <c r="G838" s="341"/>
      <c r="H838" s="342"/>
      <c r="I838" s="340"/>
      <c r="J838" s="343"/>
      <c r="K838" s="344"/>
    </row>
    <row r="839" spans="1:11">
      <c r="A839" s="339">
        <v>834</v>
      </c>
      <c r="B839" s="340"/>
      <c r="C839" s="340"/>
      <c r="D839" s="340"/>
      <c r="E839" s="340"/>
      <c r="F839" s="341"/>
      <c r="G839" s="341"/>
      <c r="H839" s="342"/>
      <c r="I839" s="340"/>
      <c r="J839" s="343"/>
      <c r="K839" s="344"/>
    </row>
    <row r="840" spans="1:11">
      <c r="A840" s="339">
        <v>835</v>
      </c>
      <c r="B840" s="340"/>
      <c r="C840" s="340"/>
      <c r="D840" s="340"/>
      <c r="E840" s="340"/>
      <c r="F840" s="341"/>
      <c r="G840" s="341"/>
      <c r="H840" s="342"/>
      <c r="I840" s="340"/>
      <c r="J840" s="343"/>
      <c r="K840" s="344"/>
    </row>
    <row r="841" spans="1:11">
      <c r="A841" s="339">
        <v>836</v>
      </c>
      <c r="B841" s="340"/>
      <c r="C841" s="340"/>
      <c r="D841" s="340"/>
      <c r="E841" s="340"/>
      <c r="F841" s="341"/>
      <c r="G841" s="341"/>
      <c r="H841" s="342"/>
      <c r="I841" s="340"/>
      <c r="J841" s="343"/>
      <c r="K841" s="344"/>
    </row>
    <row r="842" spans="1:11">
      <c r="A842" s="339">
        <v>837</v>
      </c>
      <c r="B842" s="340"/>
      <c r="C842" s="340"/>
      <c r="D842" s="340"/>
      <c r="E842" s="340"/>
      <c r="F842" s="341"/>
      <c r="G842" s="341"/>
      <c r="H842" s="342"/>
      <c r="I842" s="340"/>
      <c r="J842" s="343"/>
      <c r="K842" s="344"/>
    </row>
    <row r="843" spans="1:11">
      <c r="A843" s="339">
        <v>838</v>
      </c>
      <c r="B843" s="340"/>
      <c r="C843" s="340"/>
      <c r="D843" s="340"/>
      <c r="E843" s="340"/>
      <c r="F843" s="341"/>
      <c r="G843" s="341"/>
      <c r="H843" s="342"/>
      <c r="I843" s="340"/>
      <c r="J843" s="343"/>
      <c r="K843" s="344"/>
    </row>
    <row r="844" spans="1:11">
      <c r="A844" s="339">
        <v>839</v>
      </c>
      <c r="B844" s="340"/>
      <c r="C844" s="340"/>
      <c r="D844" s="340"/>
      <c r="E844" s="340"/>
      <c r="F844" s="341"/>
      <c r="G844" s="341"/>
      <c r="H844" s="342"/>
      <c r="I844" s="340"/>
      <c r="J844" s="343"/>
      <c r="K844" s="344"/>
    </row>
    <row r="845" spans="1:11">
      <c r="A845" s="339">
        <v>840</v>
      </c>
      <c r="B845" s="340"/>
      <c r="C845" s="340"/>
      <c r="D845" s="340"/>
      <c r="E845" s="340"/>
      <c r="F845" s="341"/>
      <c r="G845" s="341"/>
      <c r="H845" s="342"/>
      <c r="I845" s="340"/>
      <c r="J845" s="343"/>
      <c r="K845" s="344"/>
    </row>
    <row r="846" spans="1:11">
      <c r="A846" s="339">
        <v>841</v>
      </c>
      <c r="B846" s="340"/>
      <c r="C846" s="340"/>
      <c r="D846" s="340"/>
      <c r="E846" s="340"/>
      <c r="F846" s="341"/>
      <c r="G846" s="341"/>
      <c r="H846" s="342"/>
      <c r="I846" s="340"/>
      <c r="J846" s="343"/>
      <c r="K846" s="344"/>
    </row>
    <row r="847" spans="1:11">
      <c r="A847" s="339">
        <v>842</v>
      </c>
      <c r="B847" s="340"/>
      <c r="C847" s="340"/>
      <c r="D847" s="340"/>
      <c r="E847" s="340"/>
      <c r="F847" s="341"/>
      <c r="G847" s="341"/>
      <c r="H847" s="342"/>
      <c r="I847" s="340"/>
      <c r="J847" s="343"/>
      <c r="K847" s="344"/>
    </row>
    <row r="848" spans="1:11">
      <c r="A848" s="339">
        <v>843</v>
      </c>
      <c r="B848" s="340"/>
      <c r="C848" s="340"/>
      <c r="D848" s="340"/>
      <c r="E848" s="340"/>
      <c r="F848" s="341"/>
      <c r="G848" s="341"/>
      <c r="H848" s="342"/>
      <c r="I848" s="340"/>
      <c r="J848" s="343"/>
      <c r="K848" s="344"/>
    </row>
    <row r="849" spans="1:11">
      <c r="A849" s="339">
        <v>844</v>
      </c>
      <c r="B849" s="340"/>
      <c r="C849" s="340"/>
      <c r="D849" s="340"/>
      <c r="E849" s="340"/>
      <c r="F849" s="341"/>
      <c r="G849" s="341"/>
      <c r="H849" s="342"/>
      <c r="I849" s="340"/>
      <c r="J849" s="343"/>
      <c r="K849" s="344"/>
    </row>
    <row r="850" spans="1:11">
      <c r="A850" s="339">
        <v>845</v>
      </c>
      <c r="B850" s="340"/>
      <c r="C850" s="340"/>
      <c r="D850" s="340"/>
      <c r="E850" s="340"/>
      <c r="F850" s="341"/>
      <c r="G850" s="341"/>
      <c r="H850" s="342"/>
      <c r="I850" s="340"/>
      <c r="J850" s="343"/>
      <c r="K850" s="344"/>
    </row>
    <row r="851" spans="1:11">
      <c r="A851" s="339">
        <v>846</v>
      </c>
      <c r="B851" s="340"/>
      <c r="C851" s="340"/>
      <c r="D851" s="340"/>
      <c r="E851" s="340"/>
      <c r="F851" s="341"/>
      <c r="G851" s="341"/>
      <c r="H851" s="342"/>
      <c r="I851" s="340"/>
      <c r="J851" s="343"/>
      <c r="K851" s="344"/>
    </row>
    <row r="852" spans="1:11">
      <c r="A852" s="339">
        <v>847</v>
      </c>
      <c r="B852" s="340"/>
      <c r="C852" s="340"/>
      <c r="D852" s="340"/>
      <c r="E852" s="340"/>
      <c r="F852" s="341"/>
      <c r="G852" s="341"/>
      <c r="H852" s="342"/>
      <c r="I852" s="340"/>
      <c r="J852" s="343"/>
      <c r="K852" s="344"/>
    </row>
    <row r="853" spans="1:11">
      <c r="A853" s="339">
        <v>848</v>
      </c>
      <c r="B853" s="340"/>
      <c r="C853" s="340"/>
      <c r="D853" s="340"/>
      <c r="E853" s="340"/>
      <c r="F853" s="341"/>
      <c r="G853" s="341"/>
      <c r="H853" s="342"/>
      <c r="I853" s="340"/>
      <c r="J853" s="343"/>
      <c r="K853" s="344"/>
    </row>
    <row r="854" spans="1:11">
      <c r="A854" s="339">
        <v>849</v>
      </c>
      <c r="B854" s="340"/>
      <c r="C854" s="340"/>
      <c r="D854" s="340"/>
      <c r="E854" s="340"/>
      <c r="F854" s="341"/>
      <c r="G854" s="341"/>
      <c r="H854" s="342"/>
      <c r="I854" s="340"/>
      <c r="J854" s="343"/>
      <c r="K854" s="344"/>
    </row>
    <row r="855" spans="1:11">
      <c r="A855" s="339">
        <v>850</v>
      </c>
      <c r="B855" s="340"/>
      <c r="C855" s="340"/>
      <c r="D855" s="340"/>
      <c r="E855" s="340"/>
      <c r="F855" s="341"/>
      <c r="G855" s="341"/>
      <c r="H855" s="342"/>
      <c r="I855" s="340"/>
      <c r="J855" s="343"/>
      <c r="K855" s="344"/>
    </row>
    <row r="856" spans="1:11">
      <c r="A856" s="339">
        <v>851</v>
      </c>
      <c r="B856" s="340"/>
      <c r="C856" s="340"/>
      <c r="D856" s="340"/>
      <c r="E856" s="340"/>
      <c r="F856" s="341"/>
      <c r="G856" s="341"/>
      <c r="H856" s="342"/>
      <c r="I856" s="340"/>
      <c r="J856" s="343"/>
      <c r="K856" s="344"/>
    </row>
    <row r="857" spans="1:11">
      <c r="A857" s="339">
        <v>852</v>
      </c>
      <c r="B857" s="340"/>
      <c r="C857" s="340"/>
      <c r="D857" s="340"/>
      <c r="E857" s="340"/>
      <c r="F857" s="341"/>
      <c r="G857" s="341"/>
      <c r="H857" s="342"/>
      <c r="I857" s="340"/>
      <c r="J857" s="343"/>
      <c r="K857" s="344"/>
    </row>
    <row r="858" spans="1:11">
      <c r="A858" s="339">
        <v>853</v>
      </c>
      <c r="B858" s="340"/>
      <c r="C858" s="340"/>
      <c r="D858" s="340"/>
      <c r="E858" s="340"/>
      <c r="F858" s="341"/>
      <c r="G858" s="341"/>
      <c r="H858" s="342"/>
      <c r="I858" s="340"/>
      <c r="J858" s="343"/>
      <c r="K858" s="344"/>
    </row>
    <row r="859" spans="1:11">
      <c r="A859" s="339">
        <v>854</v>
      </c>
      <c r="B859" s="340"/>
      <c r="C859" s="340"/>
      <c r="D859" s="340"/>
      <c r="E859" s="340"/>
      <c r="F859" s="341"/>
      <c r="G859" s="341"/>
      <c r="H859" s="342"/>
      <c r="I859" s="340"/>
      <c r="J859" s="343"/>
      <c r="K859" s="344"/>
    </row>
    <row r="860" spans="1:11">
      <c r="A860" s="339">
        <v>855</v>
      </c>
      <c r="B860" s="340"/>
      <c r="C860" s="340"/>
      <c r="D860" s="340"/>
      <c r="E860" s="340"/>
      <c r="F860" s="341"/>
      <c r="G860" s="341"/>
      <c r="H860" s="342"/>
      <c r="I860" s="340"/>
      <c r="J860" s="343"/>
      <c r="K860" s="344"/>
    </row>
    <row r="861" spans="1:11">
      <c r="A861" s="339">
        <v>856</v>
      </c>
      <c r="B861" s="340"/>
      <c r="C861" s="340"/>
      <c r="D861" s="340"/>
      <c r="E861" s="340"/>
      <c r="F861" s="341"/>
      <c r="G861" s="341"/>
      <c r="H861" s="342"/>
      <c r="I861" s="340"/>
      <c r="J861" s="343"/>
      <c r="K861" s="344"/>
    </row>
    <row r="862" spans="1:11">
      <c r="A862" s="339">
        <v>857</v>
      </c>
      <c r="B862" s="340"/>
      <c r="C862" s="340"/>
      <c r="D862" s="340"/>
      <c r="E862" s="340"/>
      <c r="F862" s="341"/>
      <c r="G862" s="341"/>
      <c r="H862" s="342"/>
      <c r="I862" s="340"/>
      <c r="J862" s="343"/>
      <c r="K862" s="344"/>
    </row>
    <row r="863" spans="1:11">
      <c r="A863" s="339">
        <v>858</v>
      </c>
      <c r="B863" s="340"/>
      <c r="C863" s="340"/>
      <c r="D863" s="340"/>
      <c r="E863" s="340"/>
      <c r="F863" s="341"/>
      <c r="G863" s="341"/>
      <c r="H863" s="342"/>
      <c r="I863" s="340"/>
      <c r="J863" s="343"/>
      <c r="K863" s="344"/>
    </row>
    <row r="864" spans="1:11">
      <c r="A864" s="339">
        <v>859</v>
      </c>
      <c r="B864" s="340"/>
      <c r="C864" s="340"/>
      <c r="D864" s="340"/>
      <c r="E864" s="340"/>
      <c r="F864" s="341"/>
      <c r="G864" s="341"/>
      <c r="H864" s="342"/>
      <c r="I864" s="340"/>
      <c r="J864" s="343"/>
      <c r="K864" s="344"/>
    </row>
    <row r="865" spans="1:11">
      <c r="A865" s="339">
        <v>860</v>
      </c>
      <c r="B865" s="340"/>
      <c r="C865" s="340"/>
      <c r="D865" s="340"/>
      <c r="E865" s="340"/>
      <c r="F865" s="341"/>
      <c r="G865" s="341"/>
      <c r="H865" s="342"/>
      <c r="I865" s="340"/>
      <c r="J865" s="343"/>
      <c r="K865" s="344"/>
    </row>
    <row r="866" spans="1:11">
      <c r="A866" s="339">
        <v>861</v>
      </c>
      <c r="B866" s="340"/>
      <c r="C866" s="340"/>
      <c r="D866" s="340"/>
      <c r="E866" s="340"/>
      <c r="F866" s="341"/>
      <c r="G866" s="341"/>
      <c r="H866" s="342"/>
      <c r="I866" s="340"/>
      <c r="J866" s="343"/>
      <c r="K866" s="344"/>
    </row>
    <row r="867" spans="1:11">
      <c r="A867" s="339">
        <v>862</v>
      </c>
      <c r="B867" s="340"/>
      <c r="C867" s="340"/>
      <c r="D867" s="340"/>
      <c r="E867" s="340"/>
      <c r="F867" s="341"/>
      <c r="G867" s="341"/>
      <c r="H867" s="342"/>
      <c r="I867" s="340"/>
      <c r="J867" s="343"/>
      <c r="K867" s="344"/>
    </row>
    <row r="868" spans="1:11">
      <c r="A868" s="339">
        <v>863</v>
      </c>
      <c r="B868" s="340"/>
      <c r="C868" s="340"/>
      <c r="D868" s="340"/>
      <c r="E868" s="340"/>
      <c r="F868" s="341"/>
      <c r="G868" s="341"/>
      <c r="H868" s="342"/>
      <c r="I868" s="340"/>
      <c r="J868" s="343"/>
      <c r="K868" s="344"/>
    </row>
    <row r="869" spans="1:11">
      <c r="A869" s="339">
        <v>864</v>
      </c>
      <c r="B869" s="340"/>
      <c r="C869" s="340"/>
      <c r="D869" s="340"/>
      <c r="E869" s="340"/>
      <c r="F869" s="341"/>
      <c r="G869" s="341"/>
      <c r="H869" s="342"/>
      <c r="I869" s="340"/>
      <c r="J869" s="343"/>
      <c r="K869" s="344"/>
    </row>
    <row r="870" spans="1:11">
      <c r="A870" s="339">
        <v>865</v>
      </c>
      <c r="B870" s="340"/>
      <c r="C870" s="340"/>
      <c r="D870" s="340"/>
      <c r="E870" s="340"/>
      <c r="F870" s="341"/>
      <c r="G870" s="341"/>
      <c r="H870" s="342"/>
      <c r="I870" s="340"/>
      <c r="J870" s="343"/>
      <c r="K870" s="344"/>
    </row>
    <row r="871" spans="1:11">
      <c r="A871" s="339">
        <v>866</v>
      </c>
      <c r="B871" s="340"/>
      <c r="C871" s="340"/>
      <c r="D871" s="340"/>
      <c r="E871" s="340"/>
      <c r="F871" s="341"/>
      <c r="G871" s="341"/>
      <c r="H871" s="342"/>
      <c r="I871" s="340"/>
      <c r="J871" s="343"/>
      <c r="K871" s="344"/>
    </row>
    <row r="872" spans="1:11">
      <c r="A872" s="339">
        <v>867</v>
      </c>
      <c r="B872" s="340"/>
      <c r="C872" s="340"/>
      <c r="D872" s="340"/>
      <c r="E872" s="340"/>
      <c r="F872" s="341"/>
      <c r="G872" s="341"/>
      <c r="H872" s="342"/>
      <c r="I872" s="340"/>
      <c r="J872" s="343"/>
      <c r="K872" s="344"/>
    </row>
    <row r="873" spans="1:11">
      <c r="A873" s="339">
        <v>868</v>
      </c>
      <c r="B873" s="340"/>
      <c r="C873" s="340"/>
      <c r="D873" s="340"/>
      <c r="E873" s="340"/>
      <c r="F873" s="341"/>
      <c r="G873" s="341"/>
      <c r="H873" s="342"/>
      <c r="I873" s="340"/>
      <c r="J873" s="343"/>
      <c r="K873" s="344"/>
    </row>
    <row r="874" spans="1:11">
      <c r="A874" s="339">
        <v>869</v>
      </c>
      <c r="B874" s="340"/>
      <c r="C874" s="340"/>
      <c r="D874" s="340"/>
      <c r="E874" s="340"/>
      <c r="F874" s="341"/>
      <c r="G874" s="341"/>
      <c r="H874" s="342"/>
      <c r="I874" s="340"/>
      <c r="J874" s="343"/>
      <c r="K874" s="344"/>
    </row>
    <row r="875" spans="1:11">
      <c r="A875" s="339">
        <v>870</v>
      </c>
      <c r="B875" s="340"/>
      <c r="C875" s="340"/>
      <c r="D875" s="340"/>
      <c r="E875" s="340"/>
      <c r="F875" s="341"/>
      <c r="G875" s="341"/>
      <c r="H875" s="342"/>
      <c r="I875" s="340"/>
      <c r="J875" s="343"/>
      <c r="K875" s="344"/>
    </row>
    <row r="876" spans="1:11">
      <c r="A876" s="339">
        <v>871</v>
      </c>
      <c r="B876" s="340"/>
      <c r="C876" s="340"/>
      <c r="D876" s="340"/>
      <c r="E876" s="340"/>
      <c r="F876" s="341"/>
      <c r="G876" s="341"/>
      <c r="H876" s="342"/>
      <c r="I876" s="340"/>
      <c r="J876" s="343"/>
      <c r="K876" s="344"/>
    </row>
    <row r="877" spans="1:11">
      <c r="A877" s="339">
        <v>872</v>
      </c>
      <c r="B877" s="340"/>
      <c r="C877" s="340"/>
      <c r="D877" s="340"/>
      <c r="E877" s="340"/>
      <c r="F877" s="341"/>
      <c r="G877" s="341"/>
      <c r="H877" s="342"/>
      <c r="I877" s="340"/>
      <c r="J877" s="343"/>
      <c r="K877" s="344"/>
    </row>
    <row r="878" spans="1:11">
      <c r="A878" s="339">
        <v>873</v>
      </c>
      <c r="B878" s="340"/>
      <c r="C878" s="340"/>
      <c r="D878" s="340"/>
      <c r="E878" s="340"/>
      <c r="F878" s="341"/>
      <c r="G878" s="341"/>
      <c r="H878" s="342"/>
      <c r="I878" s="340"/>
      <c r="J878" s="343"/>
      <c r="K878" s="344"/>
    </row>
    <row r="879" spans="1:11">
      <c r="A879" s="339">
        <v>874</v>
      </c>
      <c r="B879" s="340"/>
      <c r="C879" s="340"/>
      <c r="D879" s="340"/>
      <c r="E879" s="340"/>
      <c r="F879" s="341"/>
      <c r="G879" s="341"/>
      <c r="H879" s="342"/>
      <c r="I879" s="340"/>
      <c r="J879" s="343"/>
      <c r="K879" s="344"/>
    </row>
    <row r="880" spans="1:11">
      <c r="A880" s="339">
        <v>875</v>
      </c>
      <c r="B880" s="340"/>
      <c r="C880" s="340"/>
      <c r="D880" s="340"/>
      <c r="E880" s="340"/>
      <c r="F880" s="341"/>
      <c r="G880" s="341"/>
      <c r="H880" s="342"/>
      <c r="I880" s="340"/>
      <c r="J880" s="343"/>
      <c r="K880" s="344"/>
    </row>
    <row r="881" spans="1:11">
      <c r="A881" s="339">
        <v>876</v>
      </c>
      <c r="B881" s="340"/>
      <c r="C881" s="340"/>
      <c r="D881" s="340"/>
      <c r="E881" s="340"/>
      <c r="F881" s="341"/>
      <c r="G881" s="341"/>
      <c r="H881" s="342"/>
      <c r="I881" s="340"/>
      <c r="J881" s="343"/>
      <c r="K881" s="344"/>
    </row>
    <row r="882" spans="1:11">
      <c r="A882" s="339">
        <v>877</v>
      </c>
      <c r="B882" s="340"/>
      <c r="C882" s="340"/>
      <c r="D882" s="340"/>
      <c r="E882" s="340"/>
      <c r="F882" s="341"/>
      <c r="G882" s="341"/>
      <c r="H882" s="342"/>
      <c r="I882" s="340"/>
      <c r="J882" s="343"/>
      <c r="K882" s="344"/>
    </row>
    <row r="883" spans="1:11">
      <c r="A883" s="339">
        <v>878</v>
      </c>
      <c r="B883" s="340"/>
      <c r="C883" s="340"/>
      <c r="D883" s="340"/>
      <c r="E883" s="340"/>
      <c r="F883" s="341"/>
      <c r="G883" s="341"/>
      <c r="H883" s="342"/>
      <c r="I883" s="340"/>
      <c r="J883" s="343"/>
      <c r="K883" s="344"/>
    </row>
    <row r="884" spans="1:11">
      <c r="A884" s="339">
        <v>879</v>
      </c>
      <c r="B884" s="340"/>
      <c r="C884" s="340"/>
      <c r="D884" s="340"/>
      <c r="E884" s="340"/>
      <c r="F884" s="341"/>
      <c r="G884" s="341"/>
      <c r="H884" s="342"/>
      <c r="I884" s="340"/>
      <c r="J884" s="343"/>
      <c r="K884" s="344"/>
    </row>
    <row r="885" spans="1:11">
      <c r="A885" s="339">
        <v>880</v>
      </c>
      <c r="B885" s="340"/>
      <c r="C885" s="340"/>
      <c r="D885" s="340"/>
      <c r="E885" s="340"/>
      <c r="F885" s="341"/>
      <c r="G885" s="341"/>
      <c r="H885" s="342"/>
      <c r="I885" s="340"/>
      <c r="J885" s="343"/>
      <c r="K885" s="344"/>
    </row>
    <row r="886" spans="1:11">
      <c r="A886" s="339">
        <v>881</v>
      </c>
      <c r="B886" s="340"/>
      <c r="C886" s="340"/>
      <c r="D886" s="340"/>
      <c r="E886" s="340"/>
      <c r="F886" s="341"/>
      <c r="G886" s="341"/>
      <c r="H886" s="342"/>
      <c r="I886" s="340"/>
      <c r="J886" s="343"/>
      <c r="K886" s="344"/>
    </row>
    <row r="887" spans="1:11">
      <c r="A887" s="339">
        <v>882</v>
      </c>
      <c r="B887" s="340"/>
      <c r="C887" s="340"/>
      <c r="D887" s="340"/>
      <c r="E887" s="340"/>
      <c r="F887" s="341"/>
      <c r="G887" s="341"/>
      <c r="H887" s="342"/>
      <c r="I887" s="340"/>
      <c r="J887" s="343"/>
      <c r="K887" s="344"/>
    </row>
    <row r="888" spans="1:11">
      <c r="A888" s="339">
        <v>883</v>
      </c>
      <c r="B888" s="340"/>
      <c r="C888" s="340"/>
      <c r="D888" s="340"/>
      <c r="E888" s="340"/>
      <c r="F888" s="341"/>
      <c r="G888" s="341"/>
      <c r="H888" s="342"/>
      <c r="I888" s="340"/>
      <c r="J888" s="343"/>
      <c r="K888" s="344"/>
    </row>
    <row r="889" spans="1:11">
      <c r="A889" s="339">
        <v>884</v>
      </c>
      <c r="B889" s="340"/>
      <c r="C889" s="340"/>
      <c r="D889" s="340"/>
      <c r="E889" s="340"/>
      <c r="F889" s="341"/>
      <c r="G889" s="341"/>
      <c r="H889" s="342"/>
      <c r="I889" s="340"/>
      <c r="J889" s="343"/>
      <c r="K889" s="344"/>
    </row>
    <row r="890" spans="1:11">
      <c r="A890" s="339">
        <v>885</v>
      </c>
      <c r="B890" s="340"/>
      <c r="C890" s="340"/>
      <c r="D890" s="340"/>
      <c r="E890" s="340"/>
      <c r="F890" s="341"/>
      <c r="G890" s="341"/>
      <c r="H890" s="342"/>
      <c r="I890" s="340"/>
      <c r="J890" s="343"/>
      <c r="K890" s="344"/>
    </row>
    <row r="891" spans="1:11">
      <c r="A891" s="339">
        <v>886</v>
      </c>
      <c r="B891" s="340"/>
      <c r="C891" s="340"/>
      <c r="D891" s="340"/>
      <c r="E891" s="340"/>
      <c r="F891" s="341"/>
      <c r="G891" s="341"/>
      <c r="H891" s="342"/>
      <c r="I891" s="340"/>
      <c r="J891" s="343"/>
      <c r="K891" s="344"/>
    </row>
    <row r="892" spans="1:11">
      <c r="A892" s="339">
        <v>887</v>
      </c>
      <c r="B892" s="340"/>
      <c r="C892" s="340"/>
      <c r="D892" s="340"/>
      <c r="E892" s="340"/>
      <c r="F892" s="341"/>
      <c r="G892" s="341"/>
      <c r="H892" s="342"/>
      <c r="I892" s="340"/>
      <c r="J892" s="343"/>
      <c r="K892" s="344"/>
    </row>
    <row r="893" spans="1:11">
      <c r="A893" s="339">
        <v>888</v>
      </c>
      <c r="B893" s="340"/>
      <c r="C893" s="340"/>
      <c r="D893" s="340"/>
      <c r="E893" s="340"/>
      <c r="F893" s="341"/>
      <c r="G893" s="341"/>
      <c r="H893" s="342"/>
      <c r="I893" s="340"/>
      <c r="J893" s="343"/>
      <c r="K893" s="344"/>
    </row>
    <row r="894" spans="1:11">
      <c r="A894" s="339">
        <v>889</v>
      </c>
      <c r="B894" s="340"/>
      <c r="C894" s="340"/>
      <c r="D894" s="340"/>
      <c r="E894" s="340"/>
      <c r="F894" s="341"/>
      <c r="G894" s="341"/>
      <c r="H894" s="342"/>
      <c r="I894" s="340"/>
      <c r="J894" s="343"/>
      <c r="K894" s="344"/>
    </row>
    <row r="895" spans="1:11">
      <c r="A895" s="339">
        <v>890</v>
      </c>
      <c r="B895" s="340"/>
      <c r="C895" s="340"/>
      <c r="D895" s="340"/>
      <c r="E895" s="340"/>
      <c r="F895" s="341"/>
      <c r="G895" s="341"/>
      <c r="H895" s="342"/>
      <c r="I895" s="340"/>
      <c r="J895" s="343"/>
      <c r="K895" s="344"/>
    </row>
    <row r="896" spans="1:11">
      <c r="A896" s="339">
        <v>891</v>
      </c>
      <c r="B896" s="340"/>
      <c r="C896" s="340"/>
      <c r="D896" s="340"/>
      <c r="E896" s="340"/>
      <c r="F896" s="341"/>
      <c r="G896" s="341"/>
      <c r="H896" s="342"/>
      <c r="I896" s="340"/>
      <c r="J896" s="343"/>
      <c r="K896" s="344"/>
    </row>
    <row r="897" spans="1:11">
      <c r="A897" s="339">
        <v>892</v>
      </c>
      <c r="B897" s="340"/>
      <c r="C897" s="340"/>
      <c r="D897" s="340"/>
      <c r="E897" s="340"/>
      <c r="F897" s="341"/>
      <c r="G897" s="341"/>
      <c r="H897" s="342"/>
      <c r="I897" s="340"/>
      <c r="J897" s="343"/>
      <c r="K897" s="344"/>
    </row>
    <row r="898" spans="1:11">
      <c r="A898" s="339">
        <v>893</v>
      </c>
      <c r="B898" s="340"/>
      <c r="C898" s="340"/>
      <c r="D898" s="340"/>
      <c r="E898" s="340"/>
      <c r="F898" s="341"/>
      <c r="G898" s="341"/>
      <c r="H898" s="342"/>
      <c r="I898" s="340"/>
      <c r="J898" s="343"/>
      <c r="K898" s="344"/>
    </row>
    <row r="899" spans="1:11">
      <c r="A899" s="339">
        <v>894</v>
      </c>
      <c r="B899" s="340"/>
      <c r="C899" s="340"/>
      <c r="D899" s="340"/>
      <c r="E899" s="340"/>
      <c r="F899" s="341"/>
      <c r="G899" s="341"/>
      <c r="H899" s="342"/>
      <c r="I899" s="340"/>
      <c r="J899" s="343"/>
      <c r="K899" s="344"/>
    </row>
    <row r="900" spans="1:11">
      <c r="A900" s="339">
        <v>895</v>
      </c>
      <c r="B900" s="340"/>
      <c r="C900" s="340"/>
      <c r="D900" s="340"/>
      <c r="E900" s="340"/>
      <c r="F900" s="341"/>
      <c r="G900" s="341"/>
      <c r="H900" s="342"/>
      <c r="I900" s="340"/>
      <c r="J900" s="343"/>
      <c r="K900" s="344"/>
    </row>
    <row r="901" spans="1:11">
      <c r="A901" s="339">
        <v>896</v>
      </c>
      <c r="B901" s="340"/>
      <c r="C901" s="340"/>
      <c r="D901" s="340"/>
      <c r="E901" s="340"/>
      <c r="F901" s="341"/>
      <c r="G901" s="341"/>
      <c r="H901" s="342"/>
      <c r="I901" s="340"/>
      <c r="J901" s="343"/>
      <c r="K901" s="344"/>
    </row>
    <row r="902" spans="1:11">
      <c r="A902" s="339">
        <v>897</v>
      </c>
      <c r="B902" s="340"/>
      <c r="C902" s="340"/>
      <c r="D902" s="340"/>
      <c r="E902" s="340"/>
      <c r="F902" s="341"/>
      <c r="G902" s="341"/>
      <c r="H902" s="342"/>
      <c r="I902" s="340"/>
      <c r="J902" s="343"/>
      <c r="K902" s="344"/>
    </row>
    <row r="903" spans="1:11">
      <c r="A903" s="339">
        <v>898</v>
      </c>
      <c r="B903" s="340"/>
      <c r="C903" s="340"/>
      <c r="D903" s="340"/>
      <c r="E903" s="340"/>
      <c r="F903" s="341"/>
      <c r="G903" s="341"/>
      <c r="H903" s="342"/>
      <c r="I903" s="340"/>
      <c r="J903" s="343"/>
      <c r="K903" s="344"/>
    </row>
    <row r="904" spans="1:11">
      <c r="A904" s="339">
        <v>899</v>
      </c>
      <c r="B904" s="340"/>
      <c r="C904" s="340"/>
      <c r="D904" s="340"/>
      <c r="E904" s="340"/>
      <c r="F904" s="341"/>
      <c r="G904" s="341"/>
      <c r="H904" s="342"/>
      <c r="I904" s="340"/>
      <c r="J904" s="343"/>
      <c r="K904" s="344"/>
    </row>
    <row r="905" spans="1:11">
      <c r="A905" s="339">
        <v>900</v>
      </c>
      <c r="B905" s="340"/>
      <c r="C905" s="340"/>
      <c r="D905" s="340"/>
      <c r="E905" s="340"/>
      <c r="F905" s="341"/>
      <c r="G905" s="341"/>
      <c r="H905" s="342"/>
      <c r="I905" s="340"/>
      <c r="J905" s="343"/>
      <c r="K905" s="344"/>
    </row>
    <row r="906" spans="1:11">
      <c r="A906" s="339">
        <v>901</v>
      </c>
      <c r="B906" s="340"/>
      <c r="C906" s="340"/>
      <c r="D906" s="340"/>
      <c r="E906" s="340"/>
      <c r="F906" s="341"/>
      <c r="G906" s="341"/>
      <c r="H906" s="342"/>
      <c r="I906" s="340"/>
      <c r="J906" s="343"/>
      <c r="K906" s="344"/>
    </row>
    <row r="907" spans="1:11">
      <c r="A907" s="339">
        <v>902</v>
      </c>
      <c r="B907" s="340"/>
      <c r="C907" s="340"/>
      <c r="D907" s="340"/>
      <c r="E907" s="340"/>
      <c r="F907" s="341"/>
      <c r="G907" s="341"/>
      <c r="H907" s="342"/>
      <c r="I907" s="340"/>
      <c r="J907" s="343"/>
      <c r="K907" s="344"/>
    </row>
    <row r="908" spans="1:11">
      <c r="A908" s="339">
        <v>903</v>
      </c>
      <c r="B908" s="340"/>
      <c r="C908" s="340"/>
      <c r="D908" s="340"/>
      <c r="E908" s="340"/>
      <c r="F908" s="341"/>
      <c r="G908" s="341"/>
      <c r="H908" s="342"/>
      <c r="I908" s="340"/>
      <c r="J908" s="343"/>
      <c r="K908" s="344"/>
    </row>
    <row r="909" spans="1:11">
      <c r="A909" s="339">
        <v>904</v>
      </c>
      <c r="B909" s="340"/>
      <c r="C909" s="340"/>
      <c r="D909" s="340"/>
      <c r="E909" s="340"/>
      <c r="F909" s="341"/>
      <c r="G909" s="341"/>
      <c r="H909" s="342"/>
      <c r="I909" s="340"/>
      <c r="J909" s="343"/>
      <c r="K909" s="344"/>
    </row>
    <row r="910" spans="1:11">
      <c r="A910" s="339">
        <v>905</v>
      </c>
      <c r="B910" s="340"/>
      <c r="C910" s="340"/>
      <c r="D910" s="340"/>
      <c r="E910" s="340"/>
      <c r="F910" s="341"/>
      <c r="G910" s="341"/>
      <c r="H910" s="342"/>
      <c r="I910" s="340"/>
      <c r="J910" s="343"/>
      <c r="K910" s="344"/>
    </row>
    <row r="911" spans="1:11">
      <c r="A911" s="339">
        <v>906</v>
      </c>
      <c r="B911" s="340"/>
      <c r="C911" s="340"/>
      <c r="D911" s="340"/>
      <c r="E911" s="340"/>
      <c r="F911" s="341"/>
      <c r="G911" s="341"/>
      <c r="H911" s="342"/>
      <c r="I911" s="340"/>
      <c r="J911" s="343"/>
      <c r="K911" s="344"/>
    </row>
    <row r="912" spans="1:11">
      <c r="A912" s="339">
        <v>907</v>
      </c>
      <c r="B912" s="340"/>
      <c r="C912" s="340"/>
      <c r="D912" s="340"/>
      <c r="E912" s="340"/>
      <c r="F912" s="341"/>
      <c r="G912" s="341"/>
      <c r="H912" s="342"/>
      <c r="I912" s="340"/>
      <c r="J912" s="343"/>
      <c r="K912" s="344"/>
    </row>
    <row r="913" spans="1:11">
      <c r="A913" s="339">
        <v>908</v>
      </c>
      <c r="B913" s="340"/>
      <c r="C913" s="340"/>
      <c r="D913" s="340"/>
      <c r="E913" s="340"/>
      <c r="F913" s="341"/>
      <c r="G913" s="341"/>
      <c r="H913" s="342"/>
      <c r="I913" s="340"/>
      <c r="J913" s="343"/>
      <c r="K913" s="344"/>
    </row>
    <row r="914" spans="1:11">
      <c r="A914" s="339">
        <v>909</v>
      </c>
      <c r="B914" s="340"/>
      <c r="C914" s="340"/>
      <c r="D914" s="340"/>
      <c r="E914" s="340"/>
      <c r="F914" s="341"/>
      <c r="G914" s="341"/>
      <c r="H914" s="342"/>
      <c r="I914" s="340"/>
      <c r="J914" s="343"/>
      <c r="K914" s="344"/>
    </row>
    <row r="915" spans="1:11">
      <c r="A915" s="339">
        <v>910</v>
      </c>
      <c r="B915" s="340"/>
      <c r="C915" s="340"/>
      <c r="D915" s="340"/>
      <c r="E915" s="340"/>
      <c r="F915" s="341"/>
      <c r="G915" s="341"/>
      <c r="H915" s="342"/>
      <c r="I915" s="340"/>
      <c r="J915" s="343"/>
      <c r="K915" s="344"/>
    </row>
    <row r="916" spans="1:11">
      <c r="A916" s="339">
        <v>911</v>
      </c>
      <c r="B916" s="340"/>
      <c r="C916" s="340"/>
      <c r="D916" s="340"/>
      <c r="E916" s="340"/>
      <c r="F916" s="341"/>
      <c r="G916" s="341"/>
      <c r="H916" s="342"/>
      <c r="I916" s="340"/>
      <c r="J916" s="343"/>
      <c r="K916" s="344"/>
    </row>
    <row r="917" spans="1:11">
      <c r="A917" s="339">
        <v>912</v>
      </c>
      <c r="B917" s="340"/>
      <c r="C917" s="340"/>
      <c r="D917" s="340"/>
      <c r="E917" s="340"/>
      <c r="F917" s="341"/>
      <c r="G917" s="341"/>
      <c r="H917" s="342"/>
      <c r="I917" s="340"/>
      <c r="J917" s="343"/>
      <c r="K917" s="344"/>
    </row>
    <row r="918" spans="1:11">
      <c r="A918" s="339">
        <v>913</v>
      </c>
      <c r="B918" s="340"/>
      <c r="C918" s="340"/>
      <c r="D918" s="340"/>
      <c r="E918" s="340"/>
      <c r="F918" s="341"/>
      <c r="G918" s="341"/>
      <c r="H918" s="342"/>
      <c r="I918" s="340"/>
      <c r="J918" s="343"/>
      <c r="K918" s="344"/>
    </row>
    <row r="919" spans="1:11">
      <c r="A919" s="339">
        <v>914</v>
      </c>
      <c r="B919" s="340"/>
      <c r="C919" s="340"/>
      <c r="D919" s="340"/>
      <c r="E919" s="340"/>
      <c r="F919" s="341"/>
      <c r="G919" s="341"/>
      <c r="H919" s="342"/>
      <c r="I919" s="340"/>
      <c r="J919" s="343"/>
      <c r="K919" s="344"/>
    </row>
    <row r="920" spans="1:11">
      <c r="A920" s="339">
        <v>915</v>
      </c>
      <c r="B920" s="340"/>
      <c r="C920" s="340"/>
      <c r="D920" s="340"/>
      <c r="E920" s="340"/>
      <c r="F920" s="341"/>
      <c r="G920" s="341"/>
      <c r="H920" s="342"/>
      <c r="I920" s="340"/>
      <c r="J920" s="343"/>
      <c r="K920" s="344"/>
    </row>
    <row r="921" spans="1:11">
      <c r="A921" s="339">
        <v>916</v>
      </c>
      <c r="B921" s="340"/>
      <c r="C921" s="340"/>
      <c r="D921" s="340"/>
      <c r="E921" s="340"/>
      <c r="F921" s="341"/>
      <c r="G921" s="341"/>
      <c r="H921" s="342"/>
      <c r="I921" s="340"/>
      <c r="J921" s="343"/>
      <c r="K921" s="344"/>
    </row>
    <row r="922" spans="1:11">
      <c r="A922" s="339">
        <v>917</v>
      </c>
      <c r="B922" s="340"/>
      <c r="C922" s="340"/>
      <c r="D922" s="340"/>
      <c r="E922" s="340"/>
      <c r="F922" s="341"/>
      <c r="G922" s="341"/>
      <c r="H922" s="342"/>
      <c r="I922" s="340"/>
      <c r="J922" s="343"/>
      <c r="K922" s="344"/>
    </row>
    <row r="923" spans="1:11">
      <c r="A923" s="339">
        <v>918</v>
      </c>
      <c r="B923" s="340"/>
      <c r="C923" s="340"/>
      <c r="D923" s="340"/>
      <c r="E923" s="340"/>
      <c r="F923" s="341"/>
      <c r="G923" s="341"/>
      <c r="H923" s="342"/>
      <c r="I923" s="340"/>
      <c r="J923" s="343"/>
      <c r="K923" s="344"/>
    </row>
    <row r="924" spans="1:11">
      <c r="A924" s="339">
        <v>919</v>
      </c>
      <c r="B924" s="340"/>
      <c r="C924" s="340"/>
      <c r="D924" s="340"/>
      <c r="E924" s="340"/>
      <c r="F924" s="341"/>
      <c r="G924" s="341"/>
      <c r="H924" s="342"/>
      <c r="I924" s="340"/>
      <c r="J924" s="343"/>
      <c r="K924" s="344"/>
    </row>
    <row r="925" spans="1:11">
      <c r="A925" s="339">
        <v>920</v>
      </c>
      <c r="B925" s="340"/>
      <c r="C925" s="340"/>
      <c r="D925" s="340"/>
      <c r="E925" s="340"/>
      <c r="F925" s="341"/>
      <c r="G925" s="341"/>
      <c r="H925" s="342"/>
      <c r="I925" s="340"/>
      <c r="J925" s="343"/>
      <c r="K925" s="344"/>
    </row>
    <row r="926" spans="1:11">
      <c r="A926" s="339">
        <v>921</v>
      </c>
      <c r="B926" s="340"/>
      <c r="C926" s="340"/>
      <c r="D926" s="340"/>
      <c r="E926" s="340"/>
      <c r="F926" s="341"/>
      <c r="G926" s="341"/>
      <c r="H926" s="342"/>
      <c r="I926" s="340"/>
      <c r="J926" s="343"/>
      <c r="K926" s="344"/>
    </row>
    <row r="927" spans="1:11">
      <c r="A927" s="339">
        <v>922</v>
      </c>
      <c r="B927" s="340"/>
      <c r="C927" s="340"/>
      <c r="D927" s="340"/>
      <c r="E927" s="340"/>
      <c r="F927" s="341"/>
      <c r="G927" s="341"/>
      <c r="H927" s="342"/>
      <c r="I927" s="340"/>
      <c r="J927" s="343"/>
      <c r="K927" s="344"/>
    </row>
    <row r="928" spans="1:11">
      <c r="A928" s="339">
        <v>923</v>
      </c>
      <c r="B928" s="340"/>
      <c r="C928" s="340"/>
      <c r="D928" s="340"/>
      <c r="E928" s="340"/>
      <c r="F928" s="341"/>
      <c r="G928" s="341"/>
      <c r="H928" s="342"/>
      <c r="I928" s="340"/>
      <c r="J928" s="343"/>
      <c r="K928" s="344"/>
    </row>
    <row r="929" spans="1:11">
      <c r="A929" s="339">
        <v>924</v>
      </c>
      <c r="B929" s="340"/>
      <c r="C929" s="340"/>
      <c r="D929" s="340"/>
      <c r="E929" s="340"/>
      <c r="F929" s="341"/>
      <c r="G929" s="341"/>
      <c r="H929" s="342"/>
      <c r="I929" s="340"/>
      <c r="J929" s="343"/>
      <c r="K929" s="344"/>
    </row>
    <row r="930" spans="1:11">
      <c r="A930" s="339">
        <v>925</v>
      </c>
      <c r="B930" s="340"/>
      <c r="C930" s="340"/>
      <c r="D930" s="340"/>
      <c r="E930" s="340"/>
      <c r="F930" s="341"/>
      <c r="G930" s="341"/>
      <c r="H930" s="342"/>
      <c r="I930" s="340"/>
      <c r="J930" s="343"/>
      <c r="K930" s="344"/>
    </row>
    <row r="931" spans="1:11">
      <c r="A931" s="339">
        <v>926</v>
      </c>
      <c r="B931" s="340"/>
      <c r="C931" s="340"/>
      <c r="D931" s="340"/>
      <c r="E931" s="340"/>
      <c r="F931" s="341"/>
      <c r="G931" s="341"/>
      <c r="H931" s="342"/>
      <c r="I931" s="340"/>
      <c r="J931" s="343"/>
      <c r="K931" s="344"/>
    </row>
    <row r="932" spans="1:11">
      <c r="A932" s="339">
        <v>927</v>
      </c>
      <c r="B932" s="340"/>
      <c r="C932" s="340"/>
      <c r="D932" s="340"/>
      <c r="E932" s="340"/>
      <c r="F932" s="341"/>
      <c r="G932" s="341"/>
      <c r="H932" s="342"/>
      <c r="I932" s="340"/>
      <c r="J932" s="343"/>
      <c r="K932" s="344"/>
    </row>
    <row r="933" spans="1:11">
      <c r="A933" s="339">
        <v>928</v>
      </c>
      <c r="B933" s="340"/>
      <c r="C933" s="340"/>
      <c r="D933" s="340"/>
      <c r="E933" s="340"/>
      <c r="F933" s="341"/>
      <c r="G933" s="341"/>
      <c r="H933" s="342"/>
      <c r="I933" s="340"/>
      <c r="J933" s="343"/>
      <c r="K933" s="344"/>
    </row>
    <row r="934" spans="1:11">
      <c r="A934" s="339">
        <v>929</v>
      </c>
      <c r="B934" s="340"/>
      <c r="C934" s="340"/>
      <c r="D934" s="340"/>
      <c r="E934" s="340"/>
      <c r="F934" s="341"/>
      <c r="G934" s="341"/>
      <c r="H934" s="342"/>
      <c r="I934" s="340"/>
      <c r="J934" s="343"/>
      <c r="K934" s="344"/>
    </row>
    <row r="935" spans="1:11">
      <c r="A935" s="339">
        <v>930</v>
      </c>
      <c r="B935" s="340"/>
      <c r="C935" s="340"/>
      <c r="D935" s="340"/>
      <c r="E935" s="340"/>
      <c r="F935" s="341"/>
      <c r="G935" s="341"/>
      <c r="H935" s="342"/>
      <c r="I935" s="340"/>
      <c r="J935" s="343"/>
      <c r="K935" s="344"/>
    </row>
    <row r="936" spans="1:11">
      <c r="A936" s="339">
        <v>931</v>
      </c>
      <c r="B936" s="340"/>
      <c r="C936" s="340"/>
      <c r="D936" s="340"/>
      <c r="E936" s="340"/>
      <c r="F936" s="341"/>
      <c r="G936" s="341"/>
      <c r="H936" s="342"/>
      <c r="I936" s="340"/>
      <c r="J936" s="343"/>
      <c r="K936" s="344"/>
    </row>
    <row r="937" spans="1:11">
      <c r="A937" s="339">
        <v>932</v>
      </c>
      <c r="B937" s="340"/>
      <c r="C937" s="340"/>
      <c r="D937" s="340"/>
      <c r="E937" s="340"/>
      <c r="F937" s="341"/>
      <c r="G937" s="341"/>
      <c r="H937" s="342"/>
      <c r="I937" s="340"/>
      <c r="J937" s="343"/>
      <c r="K937" s="344"/>
    </row>
    <row r="938" spans="1:11">
      <c r="A938" s="339">
        <v>933</v>
      </c>
      <c r="B938" s="340"/>
      <c r="C938" s="340"/>
      <c r="D938" s="340"/>
      <c r="E938" s="340"/>
      <c r="F938" s="341"/>
      <c r="G938" s="341"/>
      <c r="H938" s="342"/>
      <c r="I938" s="340"/>
      <c r="J938" s="343"/>
      <c r="K938" s="344"/>
    </row>
    <row r="939" spans="1:11">
      <c r="A939" s="339">
        <v>934</v>
      </c>
      <c r="B939" s="340"/>
      <c r="C939" s="340"/>
      <c r="D939" s="340"/>
      <c r="E939" s="340"/>
      <c r="F939" s="341"/>
      <c r="G939" s="341"/>
      <c r="H939" s="342"/>
      <c r="I939" s="340"/>
      <c r="J939" s="343"/>
      <c r="K939" s="344"/>
    </row>
    <row r="940" spans="1:11">
      <c r="A940" s="339">
        <v>935</v>
      </c>
      <c r="B940" s="340"/>
      <c r="C940" s="340"/>
      <c r="D940" s="340"/>
      <c r="E940" s="340"/>
      <c r="F940" s="341"/>
      <c r="G940" s="341"/>
      <c r="H940" s="342"/>
      <c r="I940" s="340"/>
      <c r="J940" s="343"/>
      <c r="K940" s="344"/>
    </row>
    <row r="941" spans="1:11">
      <c r="A941" s="339">
        <v>936</v>
      </c>
      <c r="B941" s="340"/>
      <c r="C941" s="340"/>
      <c r="D941" s="340"/>
      <c r="E941" s="340"/>
      <c r="F941" s="341"/>
      <c r="G941" s="341"/>
      <c r="H941" s="342"/>
      <c r="I941" s="340"/>
      <c r="J941" s="343"/>
      <c r="K941" s="344"/>
    </row>
    <row r="942" spans="1:11">
      <c r="A942" s="339">
        <v>937</v>
      </c>
      <c r="B942" s="340"/>
      <c r="C942" s="340"/>
      <c r="D942" s="340"/>
      <c r="E942" s="340"/>
      <c r="F942" s="341"/>
      <c r="G942" s="341"/>
      <c r="H942" s="342"/>
      <c r="I942" s="340"/>
      <c r="J942" s="343"/>
      <c r="K942" s="344"/>
    </row>
    <row r="943" spans="1:11">
      <c r="A943" s="339">
        <v>938</v>
      </c>
      <c r="B943" s="340"/>
      <c r="C943" s="340"/>
      <c r="D943" s="340"/>
      <c r="E943" s="340"/>
      <c r="F943" s="341"/>
      <c r="G943" s="341"/>
      <c r="H943" s="342"/>
      <c r="I943" s="340"/>
      <c r="J943" s="343"/>
      <c r="K943" s="344"/>
    </row>
    <row r="944" spans="1:11">
      <c r="A944" s="339">
        <v>939</v>
      </c>
      <c r="B944" s="340"/>
      <c r="C944" s="340"/>
      <c r="D944" s="340"/>
      <c r="E944" s="340"/>
      <c r="F944" s="341"/>
      <c r="G944" s="341"/>
      <c r="H944" s="342"/>
      <c r="I944" s="340"/>
      <c r="J944" s="343"/>
      <c r="K944" s="344"/>
    </row>
    <row r="945" spans="1:11">
      <c r="A945" s="339">
        <v>940</v>
      </c>
      <c r="B945" s="340"/>
      <c r="C945" s="340"/>
      <c r="D945" s="340"/>
      <c r="E945" s="340"/>
      <c r="F945" s="341"/>
      <c r="G945" s="341"/>
      <c r="H945" s="342"/>
      <c r="I945" s="340"/>
      <c r="J945" s="343"/>
      <c r="K945" s="344"/>
    </row>
    <row r="946" spans="1:11">
      <c r="A946" s="339">
        <v>941</v>
      </c>
      <c r="B946" s="340"/>
      <c r="C946" s="340"/>
      <c r="D946" s="340"/>
      <c r="E946" s="340"/>
      <c r="F946" s="341"/>
      <c r="G946" s="341"/>
      <c r="H946" s="342"/>
      <c r="I946" s="340"/>
      <c r="J946" s="343"/>
      <c r="K946" s="344"/>
    </row>
    <row r="947" spans="1:11">
      <c r="A947" s="339">
        <v>942</v>
      </c>
      <c r="B947" s="340"/>
      <c r="C947" s="340"/>
      <c r="D947" s="340"/>
      <c r="E947" s="340"/>
      <c r="F947" s="341"/>
      <c r="G947" s="341"/>
      <c r="H947" s="342"/>
      <c r="I947" s="340"/>
      <c r="J947" s="343"/>
      <c r="K947" s="344"/>
    </row>
    <row r="948" spans="1:11">
      <c r="A948" s="339">
        <v>943</v>
      </c>
      <c r="B948" s="340"/>
      <c r="C948" s="340"/>
      <c r="D948" s="340"/>
      <c r="E948" s="340"/>
      <c r="F948" s="341"/>
      <c r="G948" s="341"/>
      <c r="H948" s="342"/>
      <c r="I948" s="340"/>
      <c r="J948" s="343"/>
      <c r="K948" s="344"/>
    </row>
    <row r="949" spans="1:11">
      <c r="A949" s="339">
        <v>944</v>
      </c>
      <c r="B949" s="340"/>
      <c r="C949" s="340"/>
      <c r="D949" s="340"/>
      <c r="E949" s="340"/>
      <c r="F949" s="341"/>
      <c r="G949" s="341"/>
      <c r="H949" s="342"/>
      <c r="I949" s="340"/>
      <c r="J949" s="343"/>
      <c r="K949" s="344"/>
    </row>
    <row r="950" spans="1:11">
      <c r="A950" s="339">
        <v>945</v>
      </c>
      <c r="B950" s="340"/>
      <c r="C950" s="340"/>
      <c r="D950" s="340"/>
      <c r="E950" s="340"/>
      <c r="F950" s="341"/>
      <c r="G950" s="341"/>
      <c r="H950" s="342"/>
      <c r="I950" s="340"/>
      <c r="J950" s="343"/>
      <c r="K950" s="344"/>
    </row>
    <row r="951" spans="1:11">
      <c r="A951" s="339">
        <v>946</v>
      </c>
      <c r="B951" s="340"/>
      <c r="C951" s="340"/>
      <c r="D951" s="340"/>
      <c r="E951" s="340"/>
      <c r="F951" s="341"/>
      <c r="G951" s="341"/>
      <c r="H951" s="342"/>
      <c r="I951" s="340"/>
      <c r="J951" s="343"/>
      <c r="K951" s="344"/>
    </row>
    <row r="952" spans="1:11">
      <c r="A952" s="339">
        <v>947</v>
      </c>
      <c r="B952" s="340"/>
      <c r="C952" s="340"/>
      <c r="D952" s="340"/>
      <c r="E952" s="340"/>
      <c r="F952" s="341"/>
      <c r="G952" s="341"/>
      <c r="H952" s="342"/>
      <c r="I952" s="340"/>
      <c r="J952" s="343"/>
      <c r="K952" s="344"/>
    </row>
    <row r="953" spans="1:11">
      <c r="A953" s="339">
        <v>948</v>
      </c>
      <c r="B953" s="340"/>
      <c r="C953" s="340"/>
      <c r="D953" s="340"/>
      <c r="E953" s="340"/>
      <c r="F953" s="341"/>
      <c r="G953" s="341"/>
      <c r="H953" s="342"/>
      <c r="I953" s="340"/>
      <c r="J953" s="343"/>
      <c r="K953" s="344"/>
    </row>
    <row r="954" spans="1:11">
      <c r="A954" s="339">
        <v>949</v>
      </c>
      <c r="B954" s="340"/>
      <c r="C954" s="340"/>
      <c r="D954" s="340"/>
      <c r="E954" s="340"/>
      <c r="F954" s="341"/>
      <c r="G954" s="341"/>
      <c r="H954" s="342"/>
      <c r="I954" s="340"/>
      <c r="J954" s="343"/>
      <c r="K954" s="344"/>
    </row>
    <row r="955" spans="1:11">
      <c r="A955" s="339">
        <v>950</v>
      </c>
      <c r="B955" s="340"/>
      <c r="C955" s="340"/>
      <c r="D955" s="340"/>
      <c r="E955" s="340"/>
      <c r="F955" s="341"/>
      <c r="G955" s="341"/>
      <c r="H955" s="342"/>
      <c r="I955" s="340"/>
      <c r="J955" s="343"/>
      <c r="K955" s="344"/>
    </row>
    <row r="956" spans="1:11">
      <c r="A956" s="339">
        <v>951</v>
      </c>
      <c r="B956" s="340"/>
      <c r="C956" s="340"/>
      <c r="D956" s="340"/>
      <c r="E956" s="340"/>
      <c r="F956" s="341"/>
      <c r="G956" s="341"/>
      <c r="H956" s="342"/>
      <c r="I956" s="340"/>
      <c r="J956" s="343"/>
      <c r="K956" s="344"/>
    </row>
    <row r="957" spans="1:11">
      <c r="A957" s="339">
        <v>952</v>
      </c>
      <c r="B957" s="340"/>
      <c r="C957" s="340"/>
      <c r="D957" s="340"/>
      <c r="E957" s="340"/>
      <c r="F957" s="341"/>
      <c r="G957" s="341"/>
      <c r="H957" s="342"/>
      <c r="I957" s="340"/>
      <c r="J957" s="343"/>
      <c r="K957" s="344"/>
    </row>
    <row r="958" spans="1:11">
      <c r="A958" s="339">
        <v>953</v>
      </c>
      <c r="B958" s="340"/>
      <c r="C958" s="340"/>
      <c r="D958" s="340"/>
      <c r="E958" s="340"/>
      <c r="F958" s="341"/>
      <c r="G958" s="341"/>
      <c r="H958" s="342"/>
      <c r="I958" s="340"/>
      <c r="J958" s="343"/>
      <c r="K958" s="344"/>
    </row>
    <row r="959" spans="1:11">
      <c r="A959" s="339">
        <v>954</v>
      </c>
      <c r="B959" s="340"/>
      <c r="C959" s="340"/>
      <c r="D959" s="340"/>
      <c r="E959" s="340"/>
      <c r="F959" s="341"/>
      <c r="G959" s="341"/>
      <c r="H959" s="342"/>
      <c r="I959" s="340"/>
      <c r="J959" s="343"/>
      <c r="K959" s="344"/>
    </row>
    <row r="960" spans="1:11">
      <c r="A960" s="339">
        <v>955</v>
      </c>
      <c r="B960" s="340"/>
      <c r="C960" s="340"/>
      <c r="D960" s="340"/>
      <c r="E960" s="340"/>
      <c r="F960" s="341"/>
      <c r="G960" s="341"/>
      <c r="H960" s="342"/>
      <c r="I960" s="340"/>
      <c r="J960" s="343"/>
      <c r="K960" s="344"/>
    </row>
    <row r="961" spans="1:11">
      <c r="A961" s="339">
        <v>956</v>
      </c>
      <c r="B961" s="340"/>
      <c r="C961" s="340"/>
      <c r="D961" s="340"/>
      <c r="E961" s="340"/>
      <c r="F961" s="341"/>
      <c r="G961" s="341"/>
      <c r="H961" s="342"/>
      <c r="I961" s="340"/>
      <c r="J961" s="343"/>
      <c r="K961" s="344"/>
    </row>
    <row r="962" spans="1:11">
      <c r="A962" s="339">
        <v>957</v>
      </c>
      <c r="B962" s="340"/>
      <c r="C962" s="340"/>
      <c r="D962" s="340"/>
      <c r="E962" s="340"/>
      <c r="F962" s="341"/>
      <c r="G962" s="341"/>
      <c r="H962" s="342"/>
      <c r="I962" s="340"/>
      <c r="J962" s="343"/>
      <c r="K962" s="344"/>
    </row>
    <row r="963" spans="1:11">
      <c r="A963" s="339">
        <v>958</v>
      </c>
      <c r="B963" s="340"/>
      <c r="C963" s="340"/>
      <c r="D963" s="340"/>
      <c r="E963" s="340"/>
      <c r="F963" s="341"/>
      <c r="G963" s="341"/>
      <c r="H963" s="342"/>
      <c r="I963" s="340"/>
      <c r="J963" s="343"/>
      <c r="K963" s="344"/>
    </row>
    <row r="964" spans="1:11">
      <c r="A964" s="339">
        <v>959</v>
      </c>
      <c r="B964" s="340"/>
      <c r="C964" s="340"/>
      <c r="D964" s="340"/>
      <c r="E964" s="340"/>
      <c r="F964" s="341"/>
      <c r="G964" s="341"/>
      <c r="H964" s="342"/>
      <c r="I964" s="340"/>
      <c r="J964" s="343"/>
      <c r="K964" s="344"/>
    </row>
    <row r="965" spans="1:11">
      <c r="A965" s="339">
        <v>960</v>
      </c>
      <c r="B965" s="340"/>
      <c r="C965" s="340"/>
      <c r="D965" s="340"/>
      <c r="E965" s="340"/>
      <c r="F965" s="341"/>
      <c r="G965" s="341"/>
      <c r="H965" s="342"/>
      <c r="I965" s="340"/>
      <c r="J965" s="343"/>
      <c r="K965" s="344"/>
    </row>
    <row r="966" spans="1:11">
      <c r="A966" s="339">
        <v>961</v>
      </c>
      <c r="B966" s="340"/>
      <c r="C966" s="340"/>
      <c r="D966" s="340"/>
      <c r="E966" s="340"/>
      <c r="F966" s="341"/>
      <c r="G966" s="341"/>
      <c r="H966" s="342"/>
      <c r="I966" s="340"/>
      <c r="J966" s="343"/>
      <c r="K966" s="344"/>
    </row>
    <row r="967" spans="1:11">
      <c r="A967" s="339">
        <v>962</v>
      </c>
      <c r="B967" s="340"/>
      <c r="C967" s="340"/>
      <c r="D967" s="340"/>
      <c r="E967" s="340"/>
      <c r="F967" s="341"/>
      <c r="G967" s="341"/>
      <c r="H967" s="342"/>
      <c r="I967" s="340"/>
      <c r="J967" s="343"/>
      <c r="K967" s="344"/>
    </row>
    <row r="968" spans="1:11">
      <c r="A968" s="339">
        <v>963</v>
      </c>
      <c r="B968" s="340"/>
      <c r="C968" s="340"/>
      <c r="D968" s="340"/>
      <c r="E968" s="340"/>
      <c r="F968" s="341"/>
      <c r="G968" s="341"/>
      <c r="H968" s="342"/>
      <c r="I968" s="340"/>
      <c r="J968" s="343"/>
      <c r="K968" s="344"/>
    </row>
    <row r="969" spans="1:11">
      <c r="A969" s="339">
        <v>964</v>
      </c>
      <c r="B969" s="340"/>
      <c r="C969" s="340"/>
      <c r="D969" s="340"/>
      <c r="E969" s="340"/>
      <c r="F969" s="341"/>
      <c r="G969" s="341"/>
      <c r="H969" s="342"/>
      <c r="I969" s="340"/>
      <c r="J969" s="343"/>
      <c r="K969" s="344"/>
    </row>
    <row r="970" spans="1:11">
      <c r="A970" s="339">
        <v>965</v>
      </c>
      <c r="B970" s="340"/>
      <c r="C970" s="340"/>
      <c r="D970" s="340"/>
      <c r="E970" s="340"/>
      <c r="F970" s="341"/>
      <c r="G970" s="341"/>
      <c r="H970" s="342"/>
      <c r="I970" s="340"/>
      <c r="J970" s="343"/>
      <c r="K970" s="344"/>
    </row>
    <row r="971" spans="1:11">
      <c r="A971" s="339">
        <v>966</v>
      </c>
      <c r="B971" s="340"/>
      <c r="C971" s="340"/>
      <c r="D971" s="340"/>
      <c r="E971" s="340"/>
      <c r="F971" s="341"/>
      <c r="G971" s="341"/>
      <c r="H971" s="342"/>
      <c r="I971" s="340"/>
      <c r="J971" s="343"/>
      <c r="K971" s="344"/>
    </row>
    <row r="972" spans="1:11">
      <c r="A972" s="339">
        <v>967</v>
      </c>
      <c r="B972" s="340"/>
      <c r="C972" s="340"/>
      <c r="D972" s="340"/>
      <c r="E972" s="340"/>
      <c r="F972" s="341"/>
      <c r="G972" s="341"/>
      <c r="H972" s="342"/>
      <c r="I972" s="340"/>
      <c r="J972" s="343"/>
      <c r="K972" s="344"/>
    </row>
    <row r="973" spans="1:11">
      <c r="A973" s="339">
        <v>968</v>
      </c>
      <c r="B973" s="340"/>
      <c r="C973" s="340"/>
      <c r="D973" s="340"/>
      <c r="E973" s="340"/>
      <c r="F973" s="341"/>
      <c r="G973" s="341"/>
      <c r="H973" s="342"/>
      <c r="I973" s="340"/>
      <c r="J973" s="343"/>
      <c r="K973" s="344"/>
    </row>
    <row r="974" spans="1:11">
      <c r="A974" s="339">
        <v>969</v>
      </c>
      <c r="B974" s="340"/>
      <c r="C974" s="340"/>
      <c r="D974" s="340"/>
      <c r="E974" s="340"/>
      <c r="F974" s="341"/>
      <c r="G974" s="341"/>
      <c r="H974" s="342"/>
      <c r="I974" s="340"/>
      <c r="J974" s="343"/>
      <c r="K974" s="344"/>
    </row>
    <row r="975" spans="1:11">
      <c r="A975" s="339">
        <v>970</v>
      </c>
      <c r="B975" s="340"/>
      <c r="C975" s="340"/>
      <c r="D975" s="340"/>
      <c r="E975" s="340"/>
      <c r="F975" s="341"/>
      <c r="G975" s="341"/>
      <c r="H975" s="342"/>
      <c r="I975" s="340"/>
      <c r="J975" s="343"/>
      <c r="K975" s="344"/>
    </row>
    <row r="976" spans="1:11">
      <c r="A976" s="339">
        <v>971</v>
      </c>
      <c r="B976" s="340"/>
      <c r="C976" s="340"/>
      <c r="D976" s="340"/>
      <c r="E976" s="340"/>
      <c r="F976" s="341"/>
      <c r="G976" s="341"/>
      <c r="H976" s="342"/>
      <c r="I976" s="340"/>
      <c r="J976" s="343"/>
      <c r="K976" s="344"/>
    </row>
    <row r="977" spans="1:11">
      <c r="A977" s="339">
        <v>972</v>
      </c>
      <c r="B977" s="340"/>
      <c r="C977" s="340"/>
      <c r="D977" s="340"/>
      <c r="E977" s="340"/>
      <c r="F977" s="341"/>
      <c r="G977" s="341"/>
      <c r="H977" s="342"/>
      <c r="I977" s="340"/>
      <c r="J977" s="343"/>
      <c r="K977" s="344"/>
    </row>
    <row r="978" spans="1:11">
      <c r="A978" s="339">
        <v>973</v>
      </c>
      <c r="B978" s="340"/>
      <c r="C978" s="340"/>
      <c r="D978" s="340"/>
      <c r="E978" s="340"/>
      <c r="F978" s="341"/>
      <c r="G978" s="341"/>
      <c r="H978" s="342"/>
      <c r="I978" s="340"/>
      <c r="J978" s="343"/>
      <c r="K978" s="344"/>
    </row>
    <row r="979" spans="1:11">
      <c r="A979" s="339">
        <v>974</v>
      </c>
      <c r="B979" s="340"/>
      <c r="C979" s="340"/>
      <c r="D979" s="340"/>
      <c r="E979" s="340"/>
      <c r="F979" s="341"/>
      <c r="G979" s="341"/>
      <c r="H979" s="342"/>
      <c r="I979" s="340"/>
      <c r="J979" s="343"/>
      <c r="K979" s="344"/>
    </row>
    <row r="980" spans="1:11">
      <c r="A980" s="339">
        <v>975</v>
      </c>
      <c r="B980" s="340"/>
      <c r="C980" s="340"/>
      <c r="D980" s="340"/>
      <c r="E980" s="340"/>
      <c r="F980" s="341"/>
      <c r="G980" s="341"/>
      <c r="H980" s="342"/>
      <c r="I980" s="340"/>
      <c r="J980" s="343"/>
      <c r="K980" s="344"/>
    </row>
    <row r="981" spans="1:11">
      <c r="A981" s="339">
        <v>976</v>
      </c>
      <c r="B981" s="340"/>
      <c r="C981" s="340"/>
      <c r="D981" s="340"/>
      <c r="E981" s="340"/>
      <c r="F981" s="341"/>
      <c r="G981" s="341"/>
      <c r="H981" s="342"/>
      <c r="I981" s="340"/>
      <c r="J981" s="343"/>
      <c r="K981" s="344"/>
    </row>
    <row r="982" spans="1:11">
      <c r="A982" s="339">
        <v>977</v>
      </c>
      <c r="B982" s="340"/>
      <c r="C982" s="340"/>
      <c r="D982" s="340"/>
      <c r="E982" s="340"/>
      <c r="F982" s="341"/>
      <c r="G982" s="341"/>
      <c r="H982" s="342"/>
      <c r="I982" s="340"/>
      <c r="J982" s="343"/>
      <c r="K982" s="344"/>
    </row>
    <row r="983" spans="1:11">
      <c r="A983" s="339">
        <v>978</v>
      </c>
      <c r="B983" s="340"/>
      <c r="C983" s="340"/>
      <c r="D983" s="340"/>
      <c r="E983" s="340"/>
      <c r="F983" s="341"/>
      <c r="G983" s="341"/>
      <c r="H983" s="342"/>
      <c r="I983" s="340"/>
      <c r="J983" s="343"/>
      <c r="K983" s="344"/>
    </row>
    <row r="984" spans="1:11">
      <c r="A984" s="339">
        <v>979</v>
      </c>
      <c r="B984" s="340"/>
      <c r="C984" s="340"/>
      <c r="D984" s="340"/>
      <c r="E984" s="340"/>
      <c r="F984" s="341"/>
      <c r="G984" s="341"/>
      <c r="H984" s="342"/>
      <c r="I984" s="340"/>
      <c r="J984" s="343"/>
      <c r="K984" s="344"/>
    </row>
    <row r="985" spans="1:11">
      <c r="A985" s="339">
        <v>980</v>
      </c>
      <c r="B985" s="340"/>
      <c r="C985" s="340"/>
      <c r="D985" s="340"/>
      <c r="E985" s="340"/>
      <c r="F985" s="341"/>
      <c r="G985" s="341"/>
      <c r="H985" s="342"/>
      <c r="I985" s="340"/>
      <c r="J985" s="343"/>
      <c r="K985" s="344"/>
    </row>
    <row r="986" spans="1:11">
      <c r="A986" s="339">
        <v>981</v>
      </c>
      <c r="B986" s="340"/>
      <c r="C986" s="340"/>
      <c r="D986" s="340"/>
      <c r="E986" s="340"/>
      <c r="F986" s="341"/>
      <c r="G986" s="341"/>
      <c r="H986" s="342"/>
      <c r="I986" s="340"/>
      <c r="J986" s="343"/>
      <c r="K986" s="344"/>
    </row>
    <row r="987" spans="1:11">
      <c r="A987" s="339">
        <v>982</v>
      </c>
      <c r="B987" s="340"/>
      <c r="C987" s="340"/>
      <c r="D987" s="340"/>
      <c r="E987" s="340"/>
      <c r="F987" s="341"/>
      <c r="G987" s="341"/>
      <c r="H987" s="342"/>
      <c r="I987" s="340"/>
      <c r="J987" s="343"/>
      <c r="K987" s="344"/>
    </row>
    <row r="988" spans="1:11">
      <c r="A988" s="339">
        <v>983</v>
      </c>
      <c r="B988" s="340"/>
      <c r="C988" s="340"/>
      <c r="D988" s="340"/>
      <c r="E988" s="340"/>
      <c r="F988" s="341"/>
      <c r="G988" s="341"/>
      <c r="H988" s="342"/>
      <c r="I988" s="340"/>
      <c r="J988" s="343"/>
      <c r="K988" s="344"/>
    </row>
    <row r="989" spans="1:11">
      <c r="A989" s="339">
        <v>984</v>
      </c>
      <c r="B989" s="340"/>
      <c r="C989" s="340"/>
      <c r="D989" s="340"/>
      <c r="E989" s="340"/>
      <c r="F989" s="341"/>
      <c r="G989" s="341"/>
      <c r="H989" s="342"/>
      <c r="I989" s="340"/>
      <c r="J989" s="343"/>
      <c r="K989" s="344"/>
    </row>
    <row r="990" spans="1:11">
      <c r="A990" s="339">
        <v>985</v>
      </c>
      <c r="B990" s="340"/>
      <c r="C990" s="340"/>
      <c r="D990" s="340"/>
      <c r="E990" s="340"/>
      <c r="F990" s="341"/>
      <c r="G990" s="341"/>
      <c r="H990" s="342"/>
      <c r="I990" s="340"/>
      <c r="J990" s="343"/>
      <c r="K990" s="344"/>
    </row>
    <row r="991" spans="1:11">
      <c r="A991" s="339">
        <v>986</v>
      </c>
      <c r="B991" s="340"/>
      <c r="C991" s="340"/>
      <c r="D991" s="340"/>
      <c r="E991" s="340"/>
      <c r="F991" s="341"/>
      <c r="G991" s="341"/>
      <c r="H991" s="342"/>
      <c r="I991" s="340"/>
      <c r="J991" s="343"/>
      <c r="K991" s="344"/>
    </row>
    <row r="992" spans="1:11">
      <c r="A992" s="339">
        <v>987</v>
      </c>
      <c r="B992" s="340"/>
      <c r="C992" s="340"/>
      <c r="D992" s="340"/>
      <c r="E992" s="340"/>
      <c r="F992" s="341"/>
      <c r="G992" s="341"/>
      <c r="H992" s="342"/>
      <c r="I992" s="340"/>
      <c r="J992" s="343"/>
      <c r="K992" s="344"/>
    </row>
    <row r="993" spans="1:11">
      <c r="A993" s="339">
        <v>988</v>
      </c>
      <c r="B993" s="340"/>
      <c r="C993" s="340"/>
      <c r="D993" s="340"/>
      <c r="E993" s="340"/>
      <c r="F993" s="341"/>
      <c r="G993" s="341"/>
      <c r="H993" s="342"/>
      <c r="I993" s="340"/>
      <c r="J993" s="343"/>
      <c r="K993" s="344"/>
    </row>
    <row r="994" spans="1:11">
      <c r="A994" s="339">
        <v>989</v>
      </c>
      <c r="B994" s="340"/>
      <c r="C994" s="340"/>
      <c r="D994" s="340"/>
      <c r="E994" s="340"/>
      <c r="F994" s="341"/>
      <c r="G994" s="341"/>
      <c r="H994" s="342"/>
      <c r="I994" s="340"/>
      <c r="J994" s="343"/>
      <c r="K994" s="344"/>
    </row>
    <row r="995" spans="1:11">
      <c r="A995" s="339">
        <v>990</v>
      </c>
      <c r="B995" s="340"/>
      <c r="C995" s="340"/>
      <c r="D995" s="340"/>
      <c r="E995" s="340"/>
      <c r="F995" s="341"/>
      <c r="G995" s="341"/>
      <c r="H995" s="342"/>
      <c r="I995" s="340"/>
      <c r="J995" s="343"/>
      <c r="K995" s="344"/>
    </row>
    <row r="996" spans="1:11">
      <c r="A996" s="339">
        <v>991</v>
      </c>
      <c r="B996" s="340"/>
      <c r="C996" s="340"/>
      <c r="D996" s="340"/>
      <c r="E996" s="340"/>
      <c r="F996" s="341"/>
      <c r="G996" s="341"/>
      <c r="H996" s="342"/>
      <c r="I996" s="340"/>
      <c r="J996" s="343"/>
      <c r="K996" s="344"/>
    </row>
    <row r="997" spans="1:11">
      <c r="A997" s="339">
        <v>992</v>
      </c>
      <c r="B997" s="340"/>
      <c r="C997" s="340"/>
      <c r="D997" s="340"/>
      <c r="E997" s="340"/>
      <c r="F997" s="341"/>
      <c r="G997" s="341"/>
      <c r="H997" s="342"/>
      <c r="I997" s="340"/>
      <c r="J997" s="343"/>
      <c r="K997" s="344"/>
    </row>
    <row r="998" spans="1:11">
      <c r="A998" s="339">
        <v>993</v>
      </c>
      <c r="B998" s="340"/>
      <c r="C998" s="340"/>
      <c r="D998" s="340"/>
      <c r="E998" s="340"/>
      <c r="F998" s="341"/>
      <c r="G998" s="341"/>
      <c r="H998" s="342"/>
      <c r="I998" s="340"/>
      <c r="J998" s="343"/>
      <c r="K998" s="344"/>
    </row>
    <row r="999" spans="1:11">
      <c r="A999" s="339">
        <v>994</v>
      </c>
      <c r="B999" s="340"/>
      <c r="C999" s="340"/>
      <c r="D999" s="340"/>
      <c r="E999" s="340"/>
      <c r="F999" s="341"/>
      <c r="G999" s="341"/>
      <c r="H999" s="342"/>
      <c r="I999" s="340"/>
      <c r="J999" s="343"/>
      <c r="K999" s="344"/>
    </row>
    <row r="1000" spans="1:11">
      <c r="A1000" s="339">
        <v>995</v>
      </c>
      <c r="B1000" s="340"/>
      <c r="C1000" s="340"/>
      <c r="D1000" s="340"/>
      <c r="E1000" s="340"/>
      <c r="F1000" s="341"/>
      <c r="G1000" s="341"/>
      <c r="H1000" s="342"/>
      <c r="I1000" s="340"/>
      <c r="J1000" s="343"/>
      <c r="K1000" s="344"/>
    </row>
    <row r="1001" spans="1:11">
      <c r="A1001" s="339">
        <v>996</v>
      </c>
      <c r="B1001" s="340"/>
      <c r="C1001" s="340"/>
      <c r="D1001" s="340"/>
      <c r="E1001" s="340"/>
      <c r="F1001" s="341"/>
      <c r="G1001" s="341"/>
      <c r="H1001" s="342"/>
      <c r="I1001" s="340"/>
      <c r="J1001" s="343"/>
      <c r="K1001" s="344"/>
    </row>
    <row r="1002" spans="1:11">
      <c r="A1002" s="339">
        <v>997</v>
      </c>
      <c r="B1002" s="340"/>
      <c r="C1002" s="340"/>
      <c r="D1002" s="340"/>
      <c r="E1002" s="340"/>
      <c r="F1002" s="341"/>
      <c r="G1002" s="341"/>
      <c r="H1002" s="342"/>
      <c r="I1002" s="340"/>
      <c r="J1002" s="343"/>
      <c r="K1002" s="344"/>
    </row>
    <row r="1003" spans="1:11">
      <c r="A1003" s="339">
        <v>998</v>
      </c>
      <c r="B1003" s="340"/>
      <c r="C1003" s="340"/>
      <c r="D1003" s="340"/>
      <c r="E1003" s="340"/>
      <c r="F1003" s="341"/>
      <c r="G1003" s="341"/>
      <c r="H1003" s="342"/>
      <c r="I1003" s="340"/>
      <c r="J1003" s="343"/>
      <c r="K1003" s="344"/>
    </row>
    <row r="1004" spans="1:11">
      <c r="A1004" s="339">
        <v>999</v>
      </c>
      <c r="B1004" s="340"/>
      <c r="C1004" s="340"/>
      <c r="D1004" s="340"/>
      <c r="E1004" s="340"/>
      <c r="F1004" s="341"/>
      <c r="G1004" s="341"/>
      <c r="H1004" s="342"/>
      <c r="I1004" s="340"/>
      <c r="J1004" s="343"/>
      <c r="K1004" s="344"/>
    </row>
  </sheetData>
  <mergeCells count="4">
    <mergeCell ref="A2:K2"/>
    <mergeCell ref="A3:K3"/>
    <mergeCell ref="A4:K4"/>
    <mergeCell ref="A1:K1"/>
  </mergeCells>
  <dataValidations count="1">
    <dataValidation type="list" allowBlank="1" showInputMessage="1" showErrorMessage="1" sqref="E6:E1004" xr:uid="{00000000-0002-0000-0B00-000000000000}">
      <formula1>$N$4:$O$4</formula1>
    </dataValidation>
  </dataValidations>
  <pageMargins left="0.511811024" right="0.511811024" top="0.78740157499999996" bottom="0.78740157499999996" header="0.31496062000000002" footer="0.31496062000000002"/>
  <pageSetup paperSize="9" scale="53" fitToHeight="0"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A12"/>
  <sheetViews>
    <sheetView showGridLines="0" workbookViewId="0">
      <selection activeCell="A4" sqref="A4"/>
    </sheetView>
  </sheetViews>
  <sheetFormatPr defaultRowHeight="12.75"/>
  <cols>
    <col min="1" max="1" width="135.42578125" customWidth="1"/>
  </cols>
  <sheetData>
    <row r="1" spans="1:1" s="1" customFormat="1" ht="18">
      <c r="A1" s="22" t="s">
        <v>384</v>
      </c>
    </row>
    <row r="2" spans="1:1" s="1" customFormat="1" ht="39" customHeight="1">
      <c r="A2" s="4"/>
    </row>
    <row r="3" spans="1:1" s="1" customFormat="1" ht="35.25" customHeight="1">
      <c r="A3" s="169" t="str">
        <f>"Declaro, para todos os fins, que são verídicas todas as informações contidas neste relatório do "&amp;Capa!A70</f>
        <v xml:space="preserve">Declaro, para todos os fins, que são verídicas todas as informações contidas neste relatório do Contrato de Gestão nº06/2020 - Secretaria Estadual de Cultura e Instituto Cultural Filarmonica </v>
      </c>
    </row>
    <row r="4" spans="1:1" s="1" customFormat="1" ht="71.25" customHeight="1">
      <c r="A4" s="32" t="s">
        <v>21</v>
      </c>
    </row>
    <row r="5" spans="1:1" s="1" customFormat="1" ht="14.25">
      <c r="A5" s="32" t="s">
        <v>2087</v>
      </c>
    </row>
    <row r="6" spans="1:1" s="1" customFormat="1" ht="14.25">
      <c r="A6" s="32" t="s">
        <v>739</v>
      </c>
    </row>
    <row r="7" spans="1:1" s="1" customFormat="1" ht="14.25">
      <c r="A7" s="181"/>
    </row>
    <row r="8" spans="1:1" s="1" customFormat="1" ht="14.25">
      <c r="A8" s="168"/>
    </row>
    <row r="9" spans="1:1" s="1" customFormat="1" ht="14.25">
      <c r="A9" s="32" t="s">
        <v>2088</v>
      </c>
    </row>
    <row r="10" spans="1:1" s="1" customFormat="1" ht="48.75" customHeight="1">
      <c r="A10" s="6"/>
    </row>
    <row r="11" spans="1:1" s="1" customFormat="1">
      <c r="A11" s="2"/>
    </row>
    <row r="12" spans="1:1" s="1" customFormat="1" ht="9.75" customHeight="1">
      <c r="A12" s="2"/>
    </row>
  </sheetData>
  <sheetProtection formatCells="0" formatRows="0"/>
  <pageMargins left="0.511811024" right="0.511811024" top="0.78740157499999996" bottom="0.78740157499999996" header="0.31496062000000002" footer="0.31496062000000002"/>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2E58-2451-4214-BD1C-34C8B4BB38E5}">
  <dimension ref="A1"/>
  <sheetViews>
    <sheetView workbookViewId="0"/>
  </sheetViews>
  <sheetFormatPr defaultRowHeight="12.75"/>
  <sheetData/>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4.9989318521683403E-2"/>
    <pageSetUpPr fitToPage="1"/>
  </sheetPr>
  <dimension ref="A1:V118"/>
  <sheetViews>
    <sheetView topLeftCell="A25" workbookViewId="0">
      <selection activeCell="E115" sqref="E115"/>
    </sheetView>
  </sheetViews>
  <sheetFormatPr defaultColWidth="9.140625" defaultRowHeight="12.75"/>
  <cols>
    <col min="1" max="2" width="26.42578125" style="111" customWidth="1"/>
    <col min="3" max="3" width="47.85546875" style="111" customWidth="1"/>
    <col min="4" max="4" width="29.5703125" style="111" customWidth="1"/>
    <col min="5" max="5" width="31.42578125" style="111" customWidth="1"/>
    <col min="6" max="7" width="31" style="111" customWidth="1"/>
    <col min="8" max="8" width="12.5703125" style="111" customWidth="1"/>
    <col min="9" max="9" width="31" style="111" customWidth="1"/>
    <col min="10" max="10" width="3.85546875" style="111" customWidth="1"/>
    <col min="11" max="11" width="10.140625" style="111" customWidth="1"/>
    <col min="12" max="12" width="15.140625" style="111" customWidth="1"/>
    <col min="13" max="13" width="2.5703125" style="111" customWidth="1"/>
    <col min="14" max="14" width="9.140625" style="111"/>
    <col min="15" max="17" width="13.42578125" style="111" customWidth="1"/>
    <col min="18" max="18" width="0.5703125" style="111" customWidth="1"/>
    <col min="19" max="19" width="10.42578125" style="111" bestFit="1" customWidth="1"/>
    <col min="20" max="20" width="13.42578125" style="111" customWidth="1"/>
    <col min="21" max="21" width="5.85546875" style="111" customWidth="1"/>
    <col min="22" max="22" width="9.140625" style="111"/>
    <col min="23" max="25" width="13.42578125" style="111" customWidth="1"/>
    <col min="26" max="26" width="1.85546875" style="111" customWidth="1"/>
    <col min="27" max="27" width="9.140625" style="111"/>
    <col min="28" max="28" width="13.42578125" style="111" customWidth="1"/>
    <col min="29" max="16384" width="9.140625" style="111"/>
  </cols>
  <sheetData>
    <row r="1" spans="1:22">
      <c r="A1" s="111">
        <v>1</v>
      </c>
      <c r="B1" s="111">
        <v>1</v>
      </c>
      <c r="C1" s="111">
        <f t="shared" ref="C1:F1" si="0">COUNTA(C3:C152)</f>
        <v>3</v>
      </c>
      <c r="D1" s="111">
        <f>COUNTA(D3:D151)</f>
        <v>30</v>
      </c>
      <c r="E1" s="111">
        <f t="shared" si="0"/>
        <v>114</v>
      </c>
      <c r="F1" s="111">
        <f t="shared" si="0"/>
        <v>14</v>
      </c>
      <c r="G1" s="111">
        <v>1</v>
      </c>
    </row>
    <row r="2" spans="1:22" s="110" customFormat="1" ht="35.25" customHeight="1">
      <c r="A2" s="105" t="s">
        <v>338</v>
      </c>
      <c r="B2" s="105" t="s">
        <v>339</v>
      </c>
      <c r="C2" s="105" t="s">
        <v>353</v>
      </c>
      <c r="D2" s="105" t="s">
        <v>166</v>
      </c>
      <c r="E2" s="105" t="s">
        <v>248</v>
      </c>
      <c r="F2" s="105" t="s">
        <v>132</v>
      </c>
      <c r="G2" s="105" t="s">
        <v>360</v>
      </c>
      <c r="H2" s="111"/>
      <c r="I2" s="106" t="s">
        <v>360</v>
      </c>
      <c r="K2" s="111"/>
      <c r="L2" s="111"/>
      <c r="N2" s="111"/>
      <c r="O2" s="111"/>
      <c r="P2" s="111"/>
      <c r="Q2" s="111"/>
      <c r="R2" s="111"/>
      <c r="S2" s="111"/>
      <c r="T2" s="111"/>
      <c r="U2" s="111"/>
      <c r="V2" s="111"/>
    </row>
    <row r="3" spans="1:22" ht="42.75">
      <c r="A3" s="285" t="s">
        <v>338</v>
      </c>
      <c r="B3" s="285" t="s">
        <v>339</v>
      </c>
      <c r="C3" s="283" t="s">
        <v>334</v>
      </c>
      <c r="D3" s="106" t="s">
        <v>1</v>
      </c>
      <c r="E3" s="107" t="s">
        <v>2</v>
      </c>
      <c r="F3" s="284" t="s">
        <v>215</v>
      </c>
      <c r="G3" s="106" t="s">
        <v>360</v>
      </c>
      <c r="H3" s="162"/>
      <c r="I3" s="106" t="s">
        <v>362</v>
      </c>
    </row>
    <row r="4" spans="1:22" ht="28.5">
      <c r="A4" s="112"/>
      <c r="B4" s="112"/>
      <c r="C4" s="106" t="s">
        <v>336</v>
      </c>
      <c r="D4" s="106" t="s">
        <v>155</v>
      </c>
      <c r="E4" s="107" t="s">
        <v>142</v>
      </c>
      <c r="F4" s="106" t="s">
        <v>209</v>
      </c>
      <c r="G4" s="162"/>
      <c r="H4" s="162"/>
      <c r="I4" s="106" t="s">
        <v>361</v>
      </c>
    </row>
    <row r="5" spans="1:22" ht="14.25">
      <c r="A5" s="112"/>
      <c r="B5" s="112"/>
      <c r="C5" s="106" t="s">
        <v>153</v>
      </c>
      <c r="D5" s="106" t="s">
        <v>340</v>
      </c>
      <c r="E5" s="107" t="s">
        <v>3</v>
      </c>
      <c r="F5" s="106" t="s">
        <v>210</v>
      </c>
      <c r="G5" s="162"/>
      <c r="H5" s="162"/>
    </row>
    <row r="6" spans="1:22" ht="28.5" customHeight="1">
      <c r="C6" s="112"/>
      <c r="D6" s="106" t="s">
        <v>341</v>
      </c>
      <c r="E6" s="107" t="s">
        <v>58</v>
      </c>
      <c r="F6" s="106" t="s">
        <v>212</v>
      </c>
      <c r="G6" s="162"/>
      <c r="H6" s="162"/>
      <c r="I6" s="162"/>
    </row>
    <row r="7" spans="1:22" ht="42.75">
      <c r="A7" s="112"/>
      <c r="B7" s="112"/>
      <c r="C7" s="112"/>
      <c r="D7" s="106" t="s">
        <v>342</v>
      </c>
      <c r="E7" s="107" t="s">
        <v>73</v>
      </c>
      <c r="F7" s="106" t="s">
        <v>214</v>
      </c>
      <c r="G7" s="162"/>
      <c r="H7" s="162"/>
      <c r="I7" s="162"/>
    </row>
    <row r="8" spans="1:22" ht="14.25">
      <c r="A8" s="112"/>
      <c r="B8" s="112"/>
      <c r="C8" s="112"/>
      <c r="D8" s="106" t="s">
        <v>344</v>
      </c>
      <c r="E8" s="107" t="s">
        <v>72</v>
      </c>
      <c r="F8" s="106" t="s">
        <v>217</v>
      </c>
      <c r="G8" s="162"/>
      <c r="H8" s="162"/>
      <c r="I8" s="162"/>
    </row>
    <row r="9" spans="1:22" ht="14.25">
      <c r="A9" s="112"/>
      <c r="B9" s="112"/>
      <c r="C9" s="112"/>
      <c r="D9" s="106" t="s">
        <v>346</v>
      </c>
      <c r="E9" s="107" t="s">
        <v>150</v>
      </c>
      <c r="F9" s="106" t="s">
        <v>218</v>
      </c>
      <c r="G9" s="162"/>
      <c r="H9" s="162"/>
      <c r="I9" s="162"/>
    </row>
    <row r="10" spans="1:22" ht="14.25">
      <c r="A10" s="112"/>
      <c r="B10" s="112"/>
      <c r="C10" s="112"/>
      <c r="D10" s="106" t="s">
        <v>82</v>
      </c>
      <c r="E10" s="107" t="s">
        <v>151</v>
      </c>
      <c r="F10" s="106" t="s">
        <v>64</v>
      </c>
      <c r="G10" s="162"/>
      <c r="H10" s="162"/>
      <c r="I10" s="162"/>
    </row>
    <row r="11" spans="1:22" ht="28.5">
      <c r="A11" s="112"/>
      <c r="B11" s="112"/>
      <c r="C11" s="112"/>
      <c r="D11" s="106" t="s">
        <v>231</v>
      </c>
      <c r="E11" s="107" t="s">
        <v>167</v>
      </c>
      <c r="F11" s="106" t="s">
        <v>208</v>
      </c>
      <c r="G11" s="162"/>
      <c r="H11" s="162"/>
      <c r="I11" s="162"/>
    </row>
    <row r="12" spans="1:22" ht="42.75">
      <c r="A12" s="112"/>
      <c r="B12" s="112"/>
      <c r="C12" s="112"/>
      <c r="D12" s="106" t="s">
        <v>233</v>
      </c>
      <c r="E12" s="107" t="s">
        <v>164</v>
      </c>
      <c r="F12" s="106" t="s">
        <v>213</v>
      </c>
      <c r="G12" s="162"/>
      <c r="H12" s="162"/>
      <c r="I12" s="162"/>
    </row>
    <row r="13" spans="1:22" ht="28.5">
      <c r="A13" s="112"/>
      <c r="B13" s="112"/>
      <c r="C13" s="112"/>
      <c r="D13" s="106" t="s">
        <v>234</v>
      </c>
      <c r="E13" s="107" t="s">
        <v>52</v>
      </c>
      <c r="F13" s="106" t="s">
        <v>211</v>
      </c>
      <c r="G13" s="162"/>
      <c r="H13" s="162"/>
      <c r="I13" s="162"/>
    </row>
    <row r="14" spans="1:22" ht="14.25">
      <c r="A14" s="112"/>
      <c r="B14" s="112"/>
      <c r="C14" s="112"/>
      <c r="D14" s="106" t="s">
        <v>245</v>
      </c>
      <c r="E14" s="107" t="s">
        <v>9</v>
      </c>
      <c r="F14" s="106" t="s">
        <v>216</v>
      </c>
      <c r="G14" s="162"/>
      <c r="H14" s="162"/>
      <c r="I14" s="162"/>
    </row>
    <row r="15" spans="1:22" ht="14.25">
      <c r="A15" s="112"/>
      <c r="B15" s="112"/>
      <c r="C15" s="112"/>
      <c r="D15" s="106" t="s">
        <v>4</v>
      </c>
      <c r="E15" s="107" t="s">
        <v>288</v>
      </c>
      <c r="F15" s="106" t="s">
        <v>349</v>
      </c>
      <c r="G15" s="162"/>
      <c r="H15" s="162"/>
      <c r="I15" s="162"/>
    </row>
    <row r="16" spans="1:22" ht="14.25">
      <c r="A16" s="112"/>
      <c r="B16" s="112"/>
      <c r="C16" s="112"/>
      <c r="D16" s="106" t="s">
        <v>10</v>
      </c>
      <c r="E16" s="107" t="s">
        <v>161</v>
      </c>
      <c r="F16" s="106" t="s">
        <v>219</v>
      </c>
      <c r="G16" s="162"/>
      <c r="H16" s="162"/>
      <c r="I16" s="162"/>
    </row>
    <row r="17" spans="1:9" ht="28.5">
      <c r="A17" s="112"/>
      <c r="B17" s="112"/>
      <c r="C17" s="112"/>
      <c r="D17" s="106" t="s">
        <v>246</v>
      </c>
      <c r="E17" s="107" t="s">
        <v>168</v>
      </c>
      <c r="F17" s="112"/>
      <c r="G17" s="112"/>
      <c r="H17" s="112"/>
      <c r="I17" s="112"/>
    </row>
    <row r="18" spans="1:9" ht="28.5">
      <c r="A18" s="112"/>
      <c r="B18" s="112"/>
      <c r="C18" s="112"/>
      <c r="D18" s="106" t="s">
        <v>261</v>
      </c>
      <c r="E18" s="108" t="s">
        <v>206</v>
      </c>
      <c r="F18" s="112"/>
      <c r="G18" s="112"/>
      <c r="H18" s="112"/>
      <c r="I18" s="112"/>
    </row>
    <row r="19" spans="1:9" ht="14.25">
      <c r="A19" s="112"/>
      <c r="B19" s="112"/>
      <c r="C19" s="112"/>
      <c r="D19" s="106" t="s">
        <v>247</v>
      </c>
      <c r="E19" s="107" t="s">
        <v>59</v>
      </c>
      <c r="F19" s="112"/>
      <c r="G19" s="112"/>
      <c r="H19" s="112"/>
      <c r="I19" s="112"/>
    </row>
    <row r="20" spans="1:9" ht="28.5">
      <c r="A20" s="112"/>
      <c r="B20" s="112"/>
      <c r="C20" s="112"/>
      <c r="D20" s="106" t="s">
        <v>452</v>
      </c>
      <c r="E20" s="107" t="s">
        <v>169</v>
      </c>
      <c r="F20" s="112"/>
      <c r="G20" s="112"/>
      <c r="H20" s="112"/>
      <c r="I20" s="112"/>
    </row>
    <row r="21" spans="1:9" ht="28.5">
      <c r="A21" s="112"/>
      <c r="B21" s="112"/>
      <c r="C21" s="112"/>
      <c r="D21" s="106" t="s">
        <v>163</v>
      </c>
      <c r="E21" s="107" t="s">
        <v>170</v>
      </c>
      <c r="F21" s="112"/>
      <c r="G21" s="112"/>
      <c r="H21" s="112"/>
      <c r="I21" s="112"/>
    </row>
    <row r="22" spans="1:9" ht="28.5">
      <c r="A22" s="112"/>
      <c r="B22" s="112"/>
      <c r="C22" s="112"/>
      <c r="D22" s="106" t="s">
        <v>160</v>
      </c>
      <c r="E22" s="108" t="s">
        <v>171</v>
      </c>
      <c r="F22" s="112"/>
      <c r="G22" s="112"/>
      <c r="H22" s="112"/>
      <c r="I22" s="112"/>
    </row>
    <row r="23" spans="1:9" ht="42.75">
      <c r="A23" s="112"/>
      <c r="B23" s="112"/>
      <c r="C23" s="112"/>
      <c r="D23" s="106" t="s">
        <v>267</v>
      </c>
      <c r="E23" s="108" t="s">
        <v>172</v>
      </c>
      <c r="F23" s="112"/>
      <c r="G23" s="112"/>
      <c r="H23" s="112"/>
      <c r="I23" s="112"/>
    </row>
    <row r="24" spans="1:9" ht="28.5">
      <c r="A24" s="112"/>
      <c r="B24" s="112"/>
      <c r="C24" s="112"/>
      <c r="D24" s="106" t="s">
        <v>148</v>
      </c>
      <c r="E24" s="108" t="s">
        <v>173</v>
      </c>
      <c r="F24" s="112"/>
      <c r="G24" s="112"/>
      <c r="H24" s="112"/>
      <c r="I24" s="112"/>
    </row>
    <row r="25" spans="1:9" ht="28.5">
      <c r="A25" s="112"/>
      <c r="B25" s="112"/>
      <c r="C25" s="112"/>
      <c r="D25" s="106" t="s">
        <v>6</v>
      </c>
      <c r="E25" s="108" t="s">
        <v>235</v>
      </c>
      <c r="F25" s="112"/>
      <c r="G25" s="112"/>
      <c r="H25" s="112"/>
      <c r="I25" s="112"/>
    </row>
    <row r="26" spans="1:9" ht="28.5">
      <c r="A26" s="112"/>
      <c r="B26" s="112"/>
      <c r="C26" s="112"/>
      <c r="D26" s="106" t="s">
        <v>287</v>
      </c>
      <c r="E26" s="108" t="s">
        <v>80</v>
      </c>
      <c r="F26" s="112"/>
      <c r="G26" s="112"/>
      <c r="H26" s="112"/>
      <c r="I26" s="112"/>
    </row>
    <row r="27" spans="1:9" ht="28.5">
      <c r="A27" s="112"/>
      <c r="B27" s="112"/>
      <c r="C27" s="112"/>
      <c r="D27" s="106" t="s">
        <v>8</v>
      </c>
      <c r="E27" s="108" t="s">
        <v>289</v>
      </c>
      <c r="F27" s="112"/>
      <c r="G27" s="112"/>
      <c r="H27" s="112"/>
      <c r="I27" s="112"/>
    </row>
    <row r="28" spans="1:9" ht="14.25">
      <c r="A28" s="112"/>
      <c r="B28" s="112"/>
      <c r="C28" s="112"/>
      <c r="D28" s="106" t="s">
        <v>50</v>
      </c>
      <c r="E28" s="108" t="s">
        <v>70</v>
      </c>
      <c r="F28" s="112"/>
      <c r="G28" s="112"/>
      <c r="H28" s="112"/>
      <c r="I28" s="112"/>
    </row>
    <row r="29" spans="1:9" ht="28.5">
      <c r="A29" s="112"/>
      <c r="B29" s="112"/>
      <c r="C29" s="112"/>
      <c r="D29" s="106" t="s">
        <v>51</v>
      </c>
      <c r="E29" s="108" t="s">
        <v>174</v>
      </c>
      <c r="F29" s="112"/>
      <c r="G29" s="112"/>
      <c r="H29" s="112"/>
      <c r="I29" s="112"/>
    </row>
    <row r="30" spans="1:9" ht="28.5">
      <c r="A30" s="112"/>
      <c r="B30" s="112"/>
      <c r="C30" s="112"/>
      <c r="D30" s="106" t="s">
        <v>293</v>
      </c>
      <c r="E30" s="108" t="s">
        <v>78</v>
      </c>
      <c r="F30" s="112"/>
      <c r="G30" s="112"/>
      <c r="H30" s="112"/>
      <c r="I30" s="112"/>
    </row>
    <row r="31" spans="1:9" ht="14.25">
      <c r="A31" s="112"/>
      <c r="B31" s="112"/>
      <c r="C31" s="112"/>
      <c r="D31" s="106" t="s">
        <v>351</v>
      </c>
      <c r="E31" s="108" t="s">
        <v>74</v>
      </c>
      <c r="F31" s="112"/>
      <c r="G31" s="112"/>
      <c r="H31" s="112"/>
      <c r="I31" s="112"/>
    </row>
    <row r="32" spans="1:9" ht="14.25">
      <c r="A32" s="112"/>
      <c r="B32" s="112"/>
      <c r="C32" s="112"/>
      <c r="D32" s="106" t="s">
        <v>69</v>
      </c>
      <c r="E32" s="108" t="s">
        <v>162</v>
      </c>
      <c r="F32" s="112"/>
      <c r="G32" s="112"/>
      <c r="H32" s="112"/>
      <c r="I32" s="112"/>
    </row>
    <row r="33" spans="1:9" ht="14.25">
      <c r="A33" s="112"/>
      <c r="B33" s="112"/>
      <c r="C33" s="112"/>
      <c r="D33" s="112"/>
      <c r="E33" s="108" t="s">
        <v>54</v>
      </c>
      <c r="F33" s="112"/>
      <c r="G33" s="112"/>
      <c r="H33" s="112"/>
      <c r="I33" s="112"/>
    </row>
    <row r="34" spans="1:9" ht="14.25">
      <c r="A34" s="112"/>
      <c r="B34" s="112"/>
      <c r="C34" s="112"/>
      <c r="D34" s="112"/>
      <c r="E34" s="108" t="s">
        <v>53</v>
      </c>
      <c r="F34" s="112"/>
      <c r="G34" s="112"/>
      <c r="H34" s="112"/>
      <c r="I34" s="112"/>
    </row>
    <row r="35" spans="1:9" ht="14.25">
      <c r="A35" s="112"/>
      <c r="B35" s="112"/>
      <c r="C35" s="112"/>
      <c r="D35" s="112"/>
      <c r="E35" s="108" t="s">
        <v>63</v>
      </c>
      <c r="F35" s="112"/>
      <c r="G35" s="112"/>
      <c r="H35" s="112"/>
      <c r="I35" s="112"/>
    </row>
    <row r="36" spans="1:9" ht="14.25">
      <c r="A36" s="112"/>
      <c r="B36" s="112"/>
      <c r="C36" s="112"/>
      <c r="D36" s="112"/>
      <c r="E36" s="108" t="s">
        <v>61</v>
      </c>
      <c r="F36" s="112"/>
      <c r="G36" s="112"/>
      <c r="H36" s="112"/>
      <c r="I36" s="112"/>
    </row>
    <row r="37" spans="1:9" ht="28.5">
      <c r="A37" s="112"/>
      <c r="B37" s="112"/>
      <c r="C37" s="112"/>
      <c r="D37" s="112"/>
      <c r="E37" s="108" t="s">
        <v>60</v>
      </c>
      <c r="F37" s="112"/>
      <c r="G37" s="112"/>
      <c r="H37" s="112"/>
      <c r="I37" s="112"/>
    </row>
    <row r="38" spans="1:9" ht="14.25">
      <c r="A38" s="112"/>
      <c r="B38" s="112"/>
      <c r="C38" s="112"/>
      <c r="D38" s="112"/>
      <c r="E38" s="108" t="s">
        <v>62</v>
      </c>
      <c r="F38" s="112"/>
      <c r="G38" s="112"/>
      <c r="H38" s="112"/>
      <c r="I38" s="112"/>
    </row>
    <row r="39" spans="1:9" ht="14.25">
      <c r="A39" s="112"/>
      <c r="B39" s="112"/>
      <c r="C39" s="112"/>
      <c r="D39" s="112"/>
      <c r="E39" s="108" t="s">
        <v>129</v>
      </c>
      <c r="F39" s="112"/>
      <c r="G39" s="112"/>
      <c r="H39" s="112"/>
      <c r="I39" s="112"/>
    </row>
    <row r="40" spans="1:9" ht="14.25">
      <c r="A40" s="112"/>
      <c r="B40" s="112"/>
      <c r="C40" s="112"/>
      <c r="D40" s="112"/>
      <c r="E40" s="108" t="s">
        <v>127</v>
      </c>
      <c r="F40" s="112"/>
      <c r="G40" s="112"/>
      <c r="H40" s="112"/>
      <c r="I40" s="112"/>
    </row>
    <row r="41" spans="1:9" ht="14.25">
      <c r="A41" s="112"/>
      <c r="B41" s="112"/>
      <c r="C41" s="112"/>
      <c r="D41" s="112"/>
      <c r="E41" s="108" t="s">
        <v>55</v>
      </c>
      <c r="F41" s="112"/>
      <c r="G41" s="112"/>
      <c r="H41" s="112"/>
      <c r="I41" s="112"/>
    </row>
    <row r="42" spans="1:9" ht="14.25">
      <c r="A42" s="112"/>
      <c r="B42" s="112"/>
      <c r="C42" s="112"/>
      <c r="D42" s="112"/>
      <c r="E42" s="108" t="s">
        <v>76</v>
      </c>
      <c r="F42" s="112"/>
      <c r="G42" s="112"/>
      <c r="H42" s="112"/>
      <c r="I42" s="112"/>
    </row>
    <row r="43" spans="1:9" ht="14.25">
      <c r="A43" s="112"/>
      <c r="B43" s="112"/>
      <c r="C43" s="112"/>
      <c r="D43" s="112"/>
      <c r="E43" s="108" t="s">
        <v>236</v>
      </c>
      <c r="F43" s="112"/>
      <c r="G43" s="112"/>
      <c r="H43" s="112"/>
      <c r="I43" s="112"/>
    </row>
    <row r="44" spans="1:9" ht="14.25">
      <c r="A44" s="112"/>
      <c r="B44" s="112"/>
      <c r="C44" s="112"/>
      <c r="D44" s="112"/>
      <c r="E44" s="108" t="s">
        <v>0</v>
      </c>
      <c r="F44" s="112"/>
      <c r="G44" s="112"/>
      <c r="H44" s="112"/>
      <c r="I44" s="112"/>
    </row>
    <row r="45" spans="1:9" ht="14.25">
      <c r="A45" s="112"/>
      <c r="B45" s="112"/>
      <c r="C45" s="112"/>
      <c r="D45" s="112"/>
      <c r="E45" s="108" t="s">
        <v>77</v>
      </c>
      <c r="F45" s="112"/>
      <c r="G45" s="112"/>
      <c r="H45" s="112"/>
      <c r="I45" s="112"/>
    </row>
    <row r="46" spans="1:9" ht="14.25">
      <c r="A46" s="112"/>
      <c r="B46" s="112"/>
      <c r="C46" s="112"/>
      <c r="D46" s="112"/>
      <c r="E46" s="109" t="s">
        <v>207</v>
      </c>
      <c r="F46" s="112"/>
      <c r="G46" s="112"/>
      <c r="H46" s="112"/>
      <c r="I46" s="112"/>
    </row>
    <row r="47" spans="1:9" ht="14.25">
      <c r="A47" s="112"/>
      <c r="B47" s="112"/>
      <c r="C47" s="112"/>
      <c r="D47" s="112"/>
      <c r="E47" s="108" t="s">
        <v>244</v>
      </c>
      <c r="F47" s="112"/>
      <c r="G47" s="112"/>
      <c r="H47" s="112"/>
      <c r="I47" s="112"/>
    </row>
    <row r="48" spans="1:9" ht="14.25">
      <c r="A48" s="112"/>
      <c r="B48" s="112"/>
      <c r="C48" s="112"/>
      <c r="D48" s="112"/>
      <c r="E48" s="108" t="s">
        <v>86</v>
      </c>
      <c r="F48" s="112"/>
      <c r="G48" s="112"/>
      <c r="H48" s="112"/>
      <c r="I48" s="112"/>
    </row>
    <row r="49" spans="1:9" ht="14.25">
      <c r="A49" s="112"/>
      <c r="B49" s="112"/>
      <c r="C49" s="112"/>
      <c r="D49" s="112"/>
      <c r="E49" s="108" t="s">
        <v>87</v>
      </c>
      <c r="F49" s="112"/>
      <c r="G49" s="112"/>
      <c r="H49" s="112"/>
      <c r="I49" s="112"/>
    </row>
    <row r="50" spans="1:9" ht="14.25">
      <c r="A50" s="112"/>
      <c r="B50" s="112"/>
      <c r="C50" s="112"/>
      <c r="D50" s="112"/>
      <c r="E50" s="108" t="s">
        <v>57</v>
      </c>
      <c r="F50" s="112"/>
      <c r="G50" s="112"/>
      <c r="H50" s="112"/>
      <c r="I50" s="112"/>
    </row>
    <row r="51" spans="1:9" ht="14.25">
      <c r="A51" s="112"/>
      <c r="B51" s="112"/>
      <c r="C51" s="112"/>
      <c r="D51" s="112"/>
      <c r="E51" s="108" t="s">
        <v>75</v>
      </c>
      <c r="F51" s="112"/>
      <c r="G51" s="112"/>
      <c r="H51" s="112"/>
      <c r="I51" s="112"/>
    </row>
    <row r="52" spans="1:9" ht="28.5">
      <c r="A52" s="112"/>
      <c r="B52" s="112"/>
      <c r="C52" s="112"/>
      <c r="D52" s="112"/>
      <c r="E52" s="108" t="s">
        <v>189</v>
      </c>
      <c r="F52" s="112"/>
      <c r="G52" s="112"/>
      <c r="H52" s="112"/>
      <c r="I52" s="112"/>
    </row>
    <row r="53" spans="1:9" ht="14.25">
      <c r="A53" s="112"/>
      <c r="B53" s="112"/>
      <c r="C53" s="112"/>
      <c r="D53" s="112"/>
      <c r="E53" s="108" t="s">
        <v>79</v>
      </c>
      <c r="F53" s="112"/>
      <c r="G53" s="112"/>
      <c r="H53" s="112"/>
      <c r="I53" s="112"/>
    </row>
    <row r="54" spans="1:9" ht="14.25">
      <c r="A54" s="112"/>
      <c r="B54" s="112"/>
      <c r="C54" s="112"/>
      <c r="D54" s="112"/>
      <c r="E54" s="108" t="s">
        <v>71</v>
      </c>
      <c r="F54" s="112"/>
      <c r="G54" s="112"/>
      <c r="H54" s="112"/>
      <c r="I54" s="112"/>
    </row>
    <row r="55" spans="1:9" ht="14.25">
      <c r="A55" s="112"/>
      <c r="B55" s="112"/>
      <c r="C55" s="112"/>
      <c r="D55" s="112"/>
      <c r="E55" s="108" t="s">
        <v>56</v>
      </c>
      <c r="F55" s="112"/>
      <c r="G55" s="112"/>
      <c r="H55" s="112"/>
      <c r="I55" s="112"/>
    </row>
    <row r="56" spans="1:9" ht="28.5">
      <c r="A56" s="112"/>
      <c r="B56" s="112"/>
      <c r="C56" s="112"/>
      <c r="D56" s="112"/>
      <c r="E56" s="108" t="s">
        <v>194</v>
      </c>
      <c r="F56" s="112"/>
      <c r="G56" s="112"/>
      <c r="H56" s="112"/>
      <c r="I56" s="112"/>
    </row>
    <row r="57" spans="1:9" ht="14.25">
      <c r="A57" s="112"/>
      <c r="B57" s="112"/>
      <c r="C57" s="112"/>
      <c r="D57" s="112"/>
      <c r="E57" s="108" t="s">
        <v>196</v>
      </c>
      <c r="F57" s="112"/>
      <c r="G57" s="112"/>
      <c r="H57" s="112"/>
      <c r="I57" s="112"/>
    </row>
    <row r="58" spans="1:9" ht="14.25">
      <c r="A58" s="112"/>
      <c r="B58" s="112"/>
      <c r="C58" s="112"/>
      <c r="D58" s="112"/>
      <c r="E58" s="108" t="s">
        <v>198</v>
      </c>
      <c r="F58" s="112"/>
      <c r="G58" s="112"/>
      <c r="H58" s="112"/>
      <c r="I58" s="112"/>
    </row>
    <row r="59" spans="1:9" ht="28.5">
      <c r="A59" s="112"/>
      <c r="B59" s="112"/>
      <c r="C59" s="112"/>
      <c r="D59" s="112"/>
      <c r="E59" s="108" t="s">
        <v>290</v>
      </c>
      <c r="F59" s="112"/>
      <c r="G59" s="112"/>
      <c r="H59" s="112"/>
      <c r="I59" s="112"/>
    </row>
    <row r="60" spans="1:9" ht="28.5">
      <c r="A60" s="112"/>
      <c r="B60" s="112"/>
      <c r="C60" s="112"/>
      <c r="D60" s="112"/>
      <c r="E60" s="108" t="s">
        <v>201</v>
      </c>
      <c r="F60" s="112"/>
      <c r="G60" s="112"/>
      <c r="H60" s="112"/>
      <c r="I60" s="112"/>
    </row>
    <row r="61" spans="1:9" ht="14.25">
      <c r="A61" s="112"/>
      <c r="B61" s="112"/>
      <c r="C61" s="112"/>
      <c r="D61" s="112"/>
      <c r="E61" s="108" t="s">
        <v>271</v>
      </c>
      <c r="F61" s="112"/>
      <c r="G61" s="112"/>
      <c r="H61" s="112"/>
      <c r="I61" s="112"/>
    </row>
    <row r="62" spans="1:9" ht="14.25">
      <c r="A62" s="112"/>
      <c r="B62" s="112"/>
      <c r="C62" s="112"/>
      <c r="D62" s="112"/>
      <c r="E62" s="108" t="s">
        <v>453</v>
      </c>
      <c r="F62" s="112"/>
      <c r="G62" s="112"/>
      <c r="H62" s="112"/>
      <c r="I62" s="112"/>
    </row>
    <row r="63" spans="1:9" ht="14.25">
      <c r="A63" s="112"/>
      <c r="B63" s="112"/>
      <c r="C63" s="112"/>
      <c r="D63" s="112"/>
      <c r="E63" s="108" t="s">
        <v>454</v>
      </c>
      <c r="F63" s="112"/>
      <c r="G63" s="112"/>
      <c r="H63" s="112"/>
      <c r="I63" s="112"/>
    </row>
    <row r="64" spans="1:9" ht="28.5">
      <c r="A64" s="112"/>
      <c r="B64" s="112"/>
      <c r="C64" s="112"/>
      <c r="D64" s="112"/>
      <c r="E64" s="108" t="s">
        <v>455</v>
      </c>
      <c r="F64" s="112"/>
      <c r="G64" s="112"/>
      <c r="H64" s="112"/>
      <c r="I64" s="112"/>
    </row>
    <row r="65" spans="1:9" ht="14.25">
      <c r="A65" s="112"/>
      <c r="B65" s="112"/>
      <c r="C65" s="112"/>
      <c r="D65" s="112"/>
      <c r="E65" s="108" t="s">
        <v>456</v>
      </c>
      <c r="F65" s="112"/>
      <c r="G65" s="112"/>
      <c r="H65" s="112"/>
      <c r="I65" s="112"/>
    </row>
    <row r="66" spans="1:9" ht="28.5">
      <c r="A66" s="112"/>
      <c r="B66" s="112"/>
      <c r="C66" s="112"/>
      <c r="D66" s="112"/>
      <c r="E66" s="108" t="s">
        <v>457</v>
      </c>
      <c r="F66" s="112"/>
      <c r="G66" s="112"/>
      <c r="H66" s="112"/>
      <c r="I66" s="112"/>
    </row>
    <row r="67" spans="1:9" ht="28.5">
      <c r="A67" s="112"/>
      <c r="B67" s="112"/>
      <c r="C67" s="112"/>
      <c r="D67" s="112"/>
      <c r="E67" s="108" t="s">
        <v>458</v>
      </c>
      <c r="F67" s="112"/>
      <c r="G67" s="112"/>
      <c r="H67" s="112"/>
      <c r="I67" s="112"/>
    </row>
    <row r="68" spans="1:9" ht="28.5">
      <c r="A68" s="112"/>
      <c r="B68" s="112"/>
      <c r="C68" s="112"/>
      <c r="D68" s="112"/>
      <c r="E68" s="108" t="s">
        <v>459</v>
      </c>
      <c r="F68" s="112"/>
      <c r="G68" s="112"/>
      <c r="H68" s="112"/>
      <c r="I68" s="112"/>
    </row>
    <row r="69" spans="1:9" ht="28.5">
      <c r="A69" s="112"/>
      <c r="B69" s="112"/>
      <c r="C69" s="112"/>
      <c r="D69" s="112"/>
      <c r="E69" s="108" t="s">
        <v>460</v>
      </c>
      <c r="F69" s="112"/>
      <c r="G69" s="112"/>
      <c r="H69" s="112"/>
      <c r="I69" s="112"/>
    </row>
    <row r="70" spans="1:9" ht="14.25">
      <c r="A70" s="112"/>
      <c r="B70" s="112"/>
      <c r="C70" s="112"/>
      <c r="D70" s="112"/>
      <c r="E70" s="108" t="s">
        <v>461</v>
      </c>
      <c r="F70" s="112"/>
      <c r="G70" s="112"/>
      <c r="H70" s="112"/>
      <c r="I70" s="112"/>
    </row>
    <row r="71" spans="1:9" ht="28.5">
      <c r="A71" s="112"/>
      <c r="B71" s="112"/>
      <c r="C71" s="112"/>
      <c r="D71" s="112"/>
      <c r="E71" s="108" t="s">
        <v>462</v>
      </c>
      <c r="F71" s="112"/>
      <c r="G71" s="112"/>
      <c r="H71" s="112"/>
      <c r="I71" s="112"/>
    </row>
    <row r="72" spans="1:9" ht="14.25">
      <c r="A72" s="112"/>
      <c r="B72" s="112"/>
      <c r="C72" s="112"/>
      <c r="D72" s="112"/>
      <c r="E72" s="108" t="s">
        <v>463</v>
      </c>
      <c r="F72" s="112"/>
      <c r="G72" s="112"/>
      <c r="H72" s="112"/>
      <c r="I72" s="112"/>
    </row>
    <row r="73" spans="1:9" ht="14.25">
      <c r="A73" s="112"/>
      <c r="B73" s="112"/>
      <c r="C73" s="112"/>
      <c r="D73" s="112"/>
      <c r="E73" s="108" t="s">
        <v>464</v>
      </c>
      <c r="F73" s="112"/>
      <c r="G73" s="112"/>
      <c r="H73" s="112"/>
      <c r="I73" s="112"/>
    </row>
    <row r="74" spans="1:9" ht="28.5">
      <c r="A74" s="112"/>
      <c r="B74" s="112"/>
      <c r="C74" s="112"/>
      <c r="D74" s="112"/>
      <c r="E74" s="108" t="s">
        <v>465</v>
      </c>
      <c r="F74" s="112"/>
      <c r="G74" s="112"/>
      <c r="H74" s="112"/>
      <c r="I74" s="112"/>
    </row>
    <row r="75" spans="1:9" ht="14.25">
      <c r="A75" s="112"/>
      <c r="B75" s="112"/>
      <c r="C75" s="112"/>
      <c r="D75" s="112"/>
      <c r="E75" s="108" t="s">
        <v>466</v>
      </c>
      <c r="F75" s="112"/>
      <c r="G75" s="112"/>
      <c r="H75" s="112"/>
      <c r="I75" s="112"/>
    </row>
    <row r="76" spans="1:9" ht="28.5">
      <c r="A76" s="112"/>
      <c r="B76" s="112"/>
      <c r="C76" s="112"/>
      <c r="D76" s="112"/>
      <c r="E76" s="108" t="s">
        <v>467</v>
      </c>
      <c r="F76" s="112"/>
      <c r="G76" s="112"/>
      <c r="H76" s="112"/>
      <c r="I76" s="112"/>
    </row>
    <row r="77" spans="1:9" ht="14.25">
      <c r="A77" s="112"/>
      <c r="B77" s="112"/>
      <c r="C77" s="112"/>
      <c r="D77" s="112"/>
      <c r="E77" s="108" t="s">
        <v>468</v>
      </c>
      <c r="F77" s="112"/>
      <c r="G77" s="112"/>
      <c r="H77" s="112"/>
      <c r="I77" s="112"/>
    </row>
    <row r="78" spans="1:9" ht="14.25">
      <c r="A78" s="112"/>
      <c r="B78" s="112"/>
      <c r="C78" s="112"/>
      <c r="D78" s="112"/>
      <c r="E78" s="108" t="s">
        <v>469</v>
      </c>
      <c r="F78" s="112"/>
      <c r="G78" s="112"/>
      <c r="H78" s="112"/>
      <c r="I78" s="112"/>
    </row>
    <row r="79" spans="1:9" ht="14.25">
      <c r="A79" s="112"/>
      <c r="B79" s="112"/>
      <c r="C79" s="112"/>
      <c r="D79" s="112"/>
      <c r="E79" s="108" t="s">
        <v>470</v>
      </c>
      <c r="F79" s="112"/>
      <c r="G79" s="112"/>
      <c r="H79" s="112"/>
      <c r="I79" s="112"/>
    </row>
    <row r="80" spans="1:9" ht="28.5">
      <c r="A80" s="112"/>
      <c r="B80" s="112"/>
      <c r="C80" s="112"/>
      <c r="D80" s="112"/>
      <c r="E80" s="108" t="s">
        <v>471</v>
      </c>
      <c r="F80" s="112"/>
      <c r="G80" s="112"/>
      <c r="H80" s="112"/>
      <c r="I80" s="112"/>
    </row>
    <row r="81" spans="1:9" ht="14.25">
      <c r="A81" s="112"/>
      <c r="B81" s="112"/>
      <c r="C81" s="112"/>
      <c r="D81" s="112"/>
      <c r="E81" s="108" t="s">
        <v>472</v>
      </c>
      <c r="F81" s="112"/>
      <c r="G81" s="112"/>
      <c r="H81" s="112"/>
      <c r="I81" s="112"/>
    </row>
    <row r="82" spans="1:9" ht="14.25">
      <c r="A82" s="112"/>
      <c r="B82" s="112"/>
      <c r="C82" s="112"/>
      <c r="D82" s="112"/>
      <c r="E82" s="108" t="s">
        <v>473</v>
      </c>
      <c r="F82" s="112"/>
      <c r="G82" s="112"/>
      <c r="H82" s="112"/>
      <c r="I82" s="112"/>
    </row>
    <row r="83" spans="1:9" ht="14.25">
      <c r="A83" s="112"/>
      <c r="B83" s="112"/>
      <c r="C83" s="112"/>
      <c r="D83" s="112"/>
      <c r="E83" s="108" t="s">
        <v>474</v>
      </c>
      <c r="F83" s="112"/>
      <c r="G83" s="112"/>
      <c r="H83" s="112"/>
      <c r="I83" s="112"/>
    </row>
    <row r="84" spans="1:9" ht="28.5">
      <c r="A84" s="112"/>
      <c r="B84" s="112"/>
      <c r="C84" s="112"/>
      <c r="D84" s="112"/>
      <c r="E84" s="108" t="s">
        <v>475</v>
      </c>
      <c r="F84" s="112"/>
      <c r="G84" s="112"/>
      <c r="H84" s="112"/>
      <c r="I84" s="112"/>
    </row>
    <row r="85" spans="1:9" ht="14.25">
      <c r="A85" s="112"/>
      <c r="B85" s="112"/>
      <c r="C85" s="112"/>
      <c r="D85" s="112"/>
      <c r="E85" s="108" t="s">
        <v>476</v>
      </c>
      <c r="F85" s="112"/>
      <c r="G85" s="112"/>
      <c r="H85" s="112"/>
      <c r="I85" s="112"/>
    </row>
    <row r="86" spans="1:9" ht="14.25">
      <c r="A86" s="112"/>
      <c r="B86" s="112"/>
      <c r="C86" s="112"/>
      <c r="D86" s="112"/>
      <c r="E86" s="108" t="s">
        <v>477</v>
      </c>
      <c r="F86" s="112"/>
      <c r="G86" s="112"/>
      <c r="H86" s="112"/>
      <c r="I86" s="112"/>
    </row>
    <row r="87" spans="1:9" ht="14.25">
      <c r="A87" s="112"/>
      <c r="B87" s="112"/>
      <c r="C87" s="112"/>
      <c r="D87" s="112"/>
      <c r="E87" s="108" t="s">
        <v>478</v>
      </c>
      <c r="F87" s="112"/>
      <c r="G87" s="112"/>
      <c r="H87" s="112"/>
      <c r="I87" s="112"/>
    </row>
    <row r="88" spans="1:9" ht="14.25">
      <c r="A88" s="112"/>
      <c r="B88" s="112"/>
      <c r="C88" s="112"/>
      <c r="D88" s="112"/>
      <c r="E88" s="108" t="s">
        <v>479</v>
      </c>
      <c r="F88" s="112"/>
      <c r="G88" s="112"/>
      <c r="H88" s="112"/>
      <c r="I88" s="112"/>
    </row>
    <row r="89" spans="1:9" ht="14.25">
      <c r="A89" s="112"/>
      <c r="B89" s="112"/>
      <c r="C89" s="112"/>
      <c r="D89" s="112"/>
      <c r="E89" s="108" t="s">
        <v>480</v>
      </c>
      <c r="F89" s="112"/>
      <c r="G89" s="112"/>
      <c r="H89" s="112"/>
      <c r="I89" s="112"/>
    </row>
    <row r="90" spans="1:9" ht="14.25">
      <c r="A90" s="112"/>
      <c r="B90" s="112"/>
      <c r="C90" s="112"/>
      <c r="D90" s="112"/>
      <c r="E90" s="108" t="s">
        <v>481</v>
      </c>
      <c r="F90" s="112"/>
      <c r="G90" s="112"/>
      <c r="H90" s="112"/>
      <c r="I90" s="112"/>
    </row>
    <row r="91" spans="1:9" ht="14.25">
      <c r="A91" s="112"/>
      <c r="B91" s="112"/>
      <c r="C91" s="112"/>
      <c r="D91" s="112"/>
      <c r="E91" s="108" t="s">
        <v>482</v>
      </c>
      <c r="F91" s="112"/>
      <c r="G91" s="112"/>
      <c r="H91" s="112"/>
      <c r="I91" s="112"/>
    </row>
    <row r="92" spans="1:9" ht="14.25">
      <c r="A92" s="112"/>
      <c r="B92" s="112"/>
      <c r="C92" s="112"/>
      <c r="D92" s="112"/>
      <c r="E92" s="108" t="s">
        <v>483</v>
      </c>
      <c r="F92" s="112"/>
      <c r="G92" s="112"/>
      <c r="H92" s="112"/>
      <c r="I92" s="112"/>
    </row>
    <row r="93" spans="1:9" ht="28.5">
      <c r="A93" s="112"/>
      <c r="B93" s="112"/>
      <c r="C93" s="112"/>
      <c r="D93" s="112"/>
      <c r="E93" s="108" t="s">
        <v>484</v>
      </c>
      <c r="F93" s="112"/>
      <c r="G93" s="112"/>
      <c r="H93" s="112"/>
      <c r="I93" s="112"/>
    </row>
    <row r="94" spans="1:9" ht="28.5">
      <c r="A94" s="112"/>
      <c r="B94" s="112"/>
      <c r="C94" s="112"/>
      <c r="D94" s="112"/>
      <c r="E94" s="108" t="s">
        <v>485</v>
      </c>
      <c r="F94" s="112"/>
      <c r="G94" s="112"/>
      <c r="H94" s="112"/>
      <c r="I94" s="112"/>
    </row>
    <row r="95" spans="1:9" ht="14.25">
      <c r="A95" s="112"/>
      <c r="B95" s="112"/>
      <c r="C95" s="112"/>
      <c r="D95" s="112"/>
      <c r="E95" s="108" t="s">
        <v>486</v>
      </c>
      <c r="F95" s="112"/>
      <c r="G95" s="112"/>
      <c r="H95" s="112"/>
      <c r="I95" s="112"/>
    </row>
    <row r="96" spans="1:9" ht="14.25">
      <c r="A96" s="112"/>
      <c r="B96" s="112"/>
      <c r="C96" s="112"/>
      <c r="D96" s="112"/>
      <c r="E96" s="108" t="s">
        <v>487</v>
      </c>
      <c r="F96" s="112"/>
      <c r="G96" s="112"/>
      <c r="H96" s="112"/>
      <c r="I96" s="112"/>
    </row>
    <row r="97" spans="1:9" ht="28.5">
      <c r="A97" s="112"/>
      <c r="B97" s="112"/>
      <c r="C97" s="112"/>
      <c r="D97" s="112"/>
      <c r="E97" s="108" t="s">
        <v>488</v>
      </c>
      <c r="F97" s="112"/>
      <c r="G97" s="112"/>
      <c r="H97" s="112"/>
      <c r="I97" s="112"/>
    </row>
    <row r="98" spans="1:9" ht="28.5">
      <c r="A98" s="112"/>
      <c r="B98" s="112"/>
      <c r="C98" s="112"/>
      <c r="D98" s="112"/>
      <c r="E98" s="108" t="s">
        <v>489</v>
      </c>
      <c r="F98" s="112"/>
      <c r="G98" s="112"/>
      <c r="H98" s="112"/>
      <c r="I98" s="112"/>
    </row>
    <row r="99" spans="1:9" ht="14.25">
      <c r="A99" s="112"/>
      <c r="B99" s="112"/>
      <c r="C99" s="112"/>
      <c r="D99" s="112"/>
      <c r="E99" s="108" t="s">
        <v>490</v>
      </c>
      <c r="F99" s="112"/>
      <c r="G99" s="112"/>
      <c r="H99" s="112"/>
      <c r="I99" s="112"/>
    </row>
    <row r="100" spans="1:9" ht="28.5">
      <c r="A100" s="112"/>
      <c r="B100" s="112"/>
      <c r="C100" s="112"/>
      <c r="D100" s="112"/>
      <c r="E100" s="108" t="s">
        <v>491</v>
      </c>
      <c r="F100" s="112"/>
      <c r="G100" s="112"/>
      <c r="H100" s="112"/>
      <c r="I100" s="112"/>
    </row>
    <row r="101" spans="1:9" ht="28.5">
      <c r="A101" s="112"/>
      <c r="B101" s="112"/>
      <c r="C101" s="112"/>
      <c r="D101" s="112"/>
      <c r="E101" s="108" t="s">
        <v>492</v>
      </c>
      <c r="F101" s="112"/>
      <c r="G101" s="112"/>
      <c r="H101" s="112"/>
      <c r="I101" s="112"/>
    </row>
    <row r="102" spans="1:9" ht="14.25">
      <c r="A102" s="112"/>
      <c r="B102" s="112"/>
      <c r="C102" s="112"/>
      <c r="D102" s="112"/>
      <c r="E102" s="108" t="s">
        <v>493</v>
      </c>
      <c r="F102" s="112"/>
      <c r="G102" s="112"/>
      <c r="H102" s="112"/>
      <c r="I102" s="112"/>
    </row>
    <row r="103" spans="1:9" ht="14.25">
      <c r="A103" s="112"/>
      <c r="B103" s="112"/>
      <c r="C103" s="112"/>
      <c r="D103" s="112"/>
      <c r="E103" s="108" t="s">
        <v>494</v>
      </c>
      <c r="F103" s="112"/>
      <c r="G103" s="112"/>
      <c r="H103" s="112"/>
      <c r="I103" s="112"/>
    </row>
    <row r="104" spans="1:9" ht="14.25">
      <c r="A104" s="112"/>
      <c r="B104" s="112"/>
      <c r="C104" s="112"/>
      <c r="D104" s="112"/>
      <c r="E104" s="108" t="s">
        <v>495</v>
      </c>
      <c r="F104" s="112"/>
      <c r="G104" s="112"/>
      <c r="H104" s="112"/>
      <c r="I104" s="112"/>
    </row>
    <row r="105" spans="1:9" ht="14.25">
      <c r="A105" s="112"/>
      <c r="B105" s="112"/>
      <c r="C105" s="112"/>
      <c r="D105" s="112"/>
      <c r="E105" s="108" t="s">
        <v>496</v>
      </c>
      <c r="F105" s="112"/>
      <c r="G105" s="112"/>
      <c r="H105" s="112"/>
      <c r="I105" s="112"/>
    </row>
    <row r="106" spans="1:9" ht="14.25">
      <c r="A106" s="112"/>
      <c r="B106" s="112"/>
      <c r="C106" s="112"/>
      <c r="D106" s="112"/>
      <c r="E106" s="108" t="s">
        <v>497</v>
      </c>
      <c r="F106" s="112"/>
      <c r="G106" s="112"/>
      <c r="H106" s="112"/>
      <c r="I106" s="112"/>
    </row>
    <row r="107" spans="1:9" ht="28.5">
      <c r="A107" s="112"/>
      <c r="B107" s="112"/>
      <c r="C107" s="112"/>
      <c r="D107" s="112"/>
      <c r="E107" s="108" t="s">
        <v>498</v>
      </c>
      <c r="F107" s="112"/>
      <c r="G107" s="112"/>
      <c r="H107" s="112"/>
      <c r="I107" s="112"/>
    </row>
    <row r="108" spans="1:9" ht="14.25">
      <c r="A108" s="112"/>
      <c r="B108" s="112"/>
      <c r="C108" s="112"/>
      <c r="D108" s="112"/>
      <c r="E108" s="108" t="s">
        <v>499</v>
      </c>
      <c r="F108" s="112"/>
      <c r="G108" s="112"/>
      <c r="H108" s="112"/>
      <c r="I108" s="112"/>
    </row>
    <row r="109" spans="1:9" ht="14.25">
      <c r="A109" s="112"/>
      <c r="B109" s="112"/>
      <c r="C109" s="112"/>
      <c r="D109" s="112"/>
      <c r="E109" s="108" t="s">
        <v>500</v>
      </c>
      <c r="F109" s="112"/>
      <c r="G109" s="112"/>
      <c r="H109" s="112"/>
      <c r="I109" s="112"/>
    </row>
    <row r="110" spans="1:9" ht="14.25">
      <c r="A110" s="112"/>
      <c r="B110" s="112"/>
      <c r="C110" s="112"/>
      <c r="D110" s="112"/>
      <c r="E110" s="108" t="s">
        <v>501</v>
      </c>
      <c r="F110" s="112"/>
      <c r="G110" s="112"/>
      <c r="H110" s="112"/>
      <c r="I110" s="112"/>
    </row>
    <row r="111" spans="1:9" ht="28.5">
      <c r="A111" s="112"/>
      <c r="B111" s="112"/>
      <c r="C111" s="112"/>
      <c r="D111" s="112"/>
      <c r="E111" s="108" t="s">
        <v>502</v>
      </c>
      <c r="F111" s="112"/>
      <c r="G111" s="112"/>
      <c r="H111" s="112"/>
      <c r="I111" s="112"/>
    </row>
    <row r="112" spans="1:9" ht="28.5">
      <c r="A112" s="112"/>
      <c r="B112" s="112"/>
      <c r="C112" s="112"/>
      <c r="D112" s="112"/>
      <c r="E112" s="108" t="s">
        <v>503</v>
      </c>
      <c r="F112" s="112"/>
      <c r="G112" s="112"/>
      <c r="H112" s="112"/>
      <c r="I112" s="112"/>
    </row>
    <row r="113" spans="1:9" ht="28.5">
      <c r="A113" s="112"/>
      <c r="B113" s="112"/>
      <c r="C113" s="112"/>
      <c r="D113" s="112"/>
      <c r="E113" s="108" t="s">
        <v>504</v>
      </c>
      <c r="F113" s="112"/>
      <c r="G113" s="112"/>
      <c r="H113" s="112"/>
      <c r="I113" s="112"/>
    </row>
    <row r="114" spans="1:9" ht="14.25">
      <c r="A114" s="112"/>
      <c r="B114" s="112"/>
      <c r="C114" s="112"/>
      <c r="D114" s="112"/>
      <c r="E114" s="108" t="s">
        <v>505</v>
      </c>
      <c r="F114" s="112"/>
      <c r="G114" s="112"/>
      <c r="H114" s="112"/>
      <c r="I114" s="112"/>
    </row>
    <row r="115" spans="1:9" ht="28.5">
      <c r="A115" s="112"/>
      <c r="B115" s="112"/>
      <c r="C115" s="112"/>
      <c r="D115" s="112"/>
      <c r="E115" s="108" t="s">
        <v>506</v>
      </c>
      <c r="F115" s="112"/>
      <c r="G115" s="112"/>
      <c r="H115" s="112"/>
      <c r="I115" s="112"/>
    </row>
    <row r="116" spans="1:9" ht="14.25">
      <c r="D116" s="112"/>
      <c r="E116" s="108" t="s">
        <v>268</v>
      </c>
      <c r="F116" s="112"/>
      <c r="G116" s="112"/>
      <c r="H116" s="112"/>
    </row>
    <row r="117" spans="1:9">
      <c r="D117" s="112"/>
    </row>
    <row r="118" spans="1:9">
      <c r="D118" s="112"/>
    </row>
  </sheetData>
  <pageMargins left="0.19685039370078741" right="0.19685039370078741" top="0.59055118110236227" bottom="0.59055118110236227" header="0" footer="0"/>
  <pageSetup paperSize="9" scale="21"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4">
    <tabColor theme="0" tint="-0.34998626667073579"/>
    <pageSetUpPr fitToPage="1"/>
  </sheetPr>
  <dimension ref="A1:N41"/>
  <sheetViews>
    <sheetView showGridLines="0" topLeftCell="A4" zoomScale="80" zoomScaleNormal="80" zoomScaleSheetLayoutView="85" workbookViewId="0">
      <selection activeCell="I18" sqref="I18"/>
    </sheetView>
  </sheetViews>
  <sheetFormatPr defaultColWidth="9.140625" defaultRowHeight="12.75"/>
  <cols>
    <col min="1" max="1" width="5.42578125" style="1" customWidth="1"/>
    <col min="2" max="2" width="45.5703125" style="1" customWidth="1"/>
    <col min="3" max="3" width="18" style="1" customWidth="1"/>
    <col min="4" max="7" width="15.42578125" style="1" customWidth="1"/>
    <col min="8" max="8" width="16.28515625" style="1" customWidth="1"/>
    <col min="9" max="9" width="15.42578125" style="1" customWidth="1"/>
    <col min="10" max="10" width="16.28515625" style="1" customWidth="1"/>
    <col min="11" max="11" width="16" style="1" customWidth="1"/>
    <col min="12" max="14" width="15.42578125" style="1" customWidth="1"/>
    <col min="15" max="16" width="4" style="1" customWidth="1"/>
    <col min="17" max="17" width="49.5703125" style="1" customWidth="1"/>
    <col min="18" max="16384" width="9.140625" style="1"/>
  </cols>
  <sheetData>
    <row r="1" spans="1:14" ht="26.25" customHeight="1">
      <c r="A1" s="536" t="str">
        <f>Capa!A70</f>
        <v xml:space="preserve">Contrato de Gestão nº06/2020 - Secretaria Estadual de Cultura e Instituto Cultural Filarmonica </v>
      </c>
      <c r="B1" s="536"/>
      <c r="C1" s="536"/>
      <c r="D1" s="536"/>
      <c r="E1" s="536"/>
      <c r="F1" s="536"/>
      <c r="G1" s="536"/>
      <c r="H1" s="536"/>
      <c r="I1" s="536"/>
      <c r="J1" s="536"/>
      <c r="K1" s="536"/>
      <c r="L1" s="536"/>
      <c r="M1" s="536"/>
      <c r="N1" s="536"/>
    </row>
    <row r="2" spans="1:14" ht="20.25" customHeight="1">
      <c r="A2" s="537" t="str">
        <f>Capa!A5</f>
        <v>24º Relatório Gerencial Financeiro</v>
      </c>
      <c r="B2" s="537"/>
      <c r="C2" s="537"/>
      <c r="D2" s="537"/>
      <c r="E2" s="537"/>
      <c r="F2" s="537"/>
      <c r="G2" s="537"/>
      <c r="H2" s="537"/>
      <c r="I2" s="537"/>
      <c r="J2" s="537"/>
      <c r="K2" s="537"/>
      <c r="L2" s="537"/>
      <c r="M2" s="537"/>
      <c r="N2" s="537"/>
    </row>
    <row r="3" spans="1:14" ht="19.5" customHeight="1" thickBot="1">
      <c r="A3" s="535" t="s">
        <v>263</v>
      </c>
      <c r="B3" s="535"/>
      <c r="C3" s="535"/>
      <c r="D3" s="535"/>
      <c r="E3" s="535"/>
      <c r="F3" s="535"/>
      <c r="G3" s="535"/>
      <c r="H3" s="535"/>
      <c r="I3" s="535"/>
      <c r="J3" s="535"/>
      <c r="K3" s="535"/>
      <c r="L3" s="535"/>
      <c r="M3" s="535"/>
      <c r="N3" s="535"/>
    </row>
    <row r="4" spans="1:14" ht="39.75" customHeight="1" thickTop="1" thickBot="1">
      <c r="A4" s="5"/>
      <c r="B4" s="286"/>
      <c r="C4" s="287">
        <f>IF(Capa!A7="dd/mm/aaaa",DATEVALUE("01/01/2025"),DATE(YEAR(Capa!A7),1,1))</f>
        <v>46023</v>
      </c>
      <c r="D4" s="287">
        <f>EDATE(C4,1)</f>
        <v>46054</v>
      </c>
      <c r="E4" s="287">
        <f t="shared" ref="E4:N4" si="0">EDATE(D4,1)</f>
        <v>46082</v>
      </c>
      <c r="F4" s="287">
        <f t="shared" si="0"/>
        <v>46113</v>
      </c>
      <c r="G4" s="287">
        <f t="shared" si="0"/>
        <v>46143</v>
      </c>
      <c r="H4" s="287">
        <f t="shared" si="0"/>
        <v>46174</v>
      </c>
      <c r="I4" s="287">
        <f t="shared" si="0"/>
        <v>46204</v>
      </c>
      <c r="J4" s="287">
        <f t="shared" si="0"/>
        <v>46235</v>
      </c>
      <c r="K4" s="287">
        <f t="shared" si="0"/>
        <v>46266</v>
      </c>
      <c r="L4" s="287">
        <f t="shared" si="0"/>
        <v>46296</v>
      </c>
      <c r="M4" s="287">
        <f t="shared" si="0"/>
        <v>46327</v>
      </c>
      <c r="N4" s="287">
        <f t="shared" si="0"/>
        <v>46357</v>
      </c>
    </row>
    <row r="5" spans="1:14" ht="24" customHeight="1" thickTop="1" thickBot="1">
      <c r="A5" s="10" t="s">
        <v>43</v>
      </c>
      <c r="B5" s="51" t="s">
        <v>366</v>
      </c>
      <c r="C5" s="47">
        <v>15431661.859999994</v>
      </c>
      <c r="D5" s="43">
        <f>'Analítico Cx.'!D5</f>
        <v>17031256.18999999</v>
      </c>
      <c r="E5" s="43">
        <f>'Analítico Cx.'!E5</f>
        <v>13743383.70999999</v>
      </c>
      <c r="F5" s="43">
        <f>'Analítico Cx.'!F5</f>
        <v>14711430.669999991</v>
      </c>
      <c r="G5" s="43">
        <f>'Analítico Cx.'!G5</f>
        <v>15264613.629999992</v>
      </c>
      <c r="H5" s="43">
        <f>'Analítico Cx.'!H5</f>
        <v>14575862.76999999</v>
      </c>
      <c r="I5" s="43">
        <f>'Analítico Cx.'!I5</f>
        <v>16777919.859899994</v>
      </c>
      <c r="J5" s="43">
        <f>'Analítico Cx.'!J5</f>
        <v>16777919.859899994</v>
      </c>
      <c r="K5" s="43">
        <f>'Analítico Cx.'!K5</f>
        <v>16777919.859899994</v>
      </c>
      <c r="L5" s="43">
        <f>'Analítico Cx.'!L5</f>
        <v>16777919.859899994</v>
      </c>
      <c r="M5" s="43">
        <f>'Analítico Cx.'!M5</f>
        <v>16777919.859899994</v>
      </c>
      <c r="N5" s="43">
        <f>'Analítico Cx.'!N5</f>
        <v>16777919.859899994</v>
      </c>
    </row>
    <row r="6" spans="1:14" ht="9.75" customHeight="1" thickTop="1" thickBot="1">
      <c r="A6" s="10"/>
      <c r="B6" s="52"/>
      <c r="C6" s="44"/>
      <c r="D6" s="44"/>
      <c r="E6" s="44"/>
      <c r="F6" s="44"/>
      <c r="G6" s="44"/>
      <c r="H6" s="44"/>
      <c r="I6" s="44"/>
      <c r="J6" s="44"/>
      <c r="K6" s="44"/>
      <c r="L6" s="44"/>
      <c r="M6" s="44"/>
      <c r="N6" s="44"/>
    </row>
    <row r="7" spans="1:14" ht="24" customHeight="1" thickTop="1">
      <c r="A7" s="10" t="s">
        <v>44</v>
      </c>
      <c r="B7" s="53" t="s">
        <v>269</v>
      </c>
      <c r="C7" s="45">
        <f>'Analítico Cx.'!C15</f>
        <v>4212820</v>
      </c>
      <c r="D7" s="45">
        <f>'Analítico Cx.'!D15</f>
        <v>-1014118.3599999995</v>
      </c>
      <c r="E7" s="45">
        <f>'Analítico Cx.'!E15</f>
        <v>4077851.55</v>
      </c>
      <c r="F7" s="45">
        <f>'Analítico Cx.'!F15</f>
        <v>4240558.55</v>
      </c>
      <c r="G7" s="45">
        <f>'Analítico Cx.'!G15</f>
        <v>2833938.6300000004</v>
      </c>
      <c r="H7" s="45">
        <f>'Analítico Cx.'!H15</f>
        <v>6361317.7300000004</v>
      </c>
      <c r="I7" s="45">
        <f>'Analítico Cx.'!I15</f>
        <v>0</v>
      </c>
      <c r="J7" s="45">
        <f>'Analítico Cx.'!J15</f>
        <v>0</v>
      </c>
      <c r="K7" s="45">
        <f>'Analítico Cx.'!K15</f>
        <v>0</v>
      </c>
      <c r="L7" s="45">
        <f>'Analítico Cx.'!L15</f>
        <v>0</v>
      </c>
      <c r="M7" s="45">
        <f>'Analítico Cx.'!M15</f>
        <v>0</v>
      </c>
      <c r="N7" s="45">
        <f>'Analítico Cx.'!N15</f>
        <v>0</v>
      </c>
    </row>
    <row r="8" spans="1:14" ht="24" customHeight="1" thickBot="1">
      <c r="A8" s="10" t="s">
        <v>220</v>
      </c>
      <c r="B8" s="54" t="s">
        <v>270</v>
      </c>
      <c r="C8" s="46">
        <f>'Analítico Cx.'!C191</f>
        <v>2613225.67</v>
      </c>
      <c r="D8" s="46">
        <f>'Analítico Cx.'!D191</f>
        <v>2273754.12</v>
      </c>
      <c r="E8" s="46">
        <f>'Analítico Cx.'!E191</f>
        <v>3109804.5900000008</v>
      </c>
      <c r="F8" s="46">
        <f>'Analítico Cx.'!F191</f>
        <v>3687375.5899999994</v>
      </c>
      <c r="G8" s="46">
        <f>'Analítico Cx.'!G191</f>
        <v>3522689.4900000007</v>
      </c>
      <c r="H8" s="46">
        <f>'Analítico Cx.'!H191</f>
        <v>4159260.6400999981</v>
      </c>
      <c r="I8" s="46">
        <f>'Analítico Cx.'!I191</f>
        <v>0</v>
      </c>
      <c r="J8" s="46">
        <f>'Analítico Cx.'!J191</f>
        <v>0</v>
      </c>
      <c r="K8" s="46">
        <f>'Analítico Cx.'!K191</f>
        <v>0</v>
      </c>
      <c r="L8" s="46">
        <f>'Analítico Cx.'!L191</f>
        <v>0</v>
      </c>
      <c r="M8" s="46">
        <f>'Analítico Cx.'!M191</f>
        <v>0</v>
      </c>
      <c r="N8" s="46">
        <f>'Analítico Cx.'!N191</f>
        <v>0</v>
      </c>
    </row>
    <row r="9" spans="1:14" ht="9.75" customHeight="1" thickTop="1" thickBot="1">
      <c r="A9" s="10"/>
      <c r="B9" s="3"/>
      <c r="C9" s="9"/>
      <c r="D9" s="9"/>
      <c r="E9" s="9"/>
      <c r="F9" s="9"/>
      <c r="G9" s="9"/>
      <c r="H9" s="9"/>
      <c r="I9" s="9"/>
      <c r="J9" s="9"/>
      <c r="K9" s="9"/>
      <c r="L9" s="9"/>
      <c r="M9" s="9"/>
      <c r="N9" s="9"/>
    </row>
    <row r="10" spans="1:14" ht="24" customHeight="1" thickTop="1" thickBot="1">
      <c r="A10" s="10" t="s">
        <v>239</v>
      </c>
      <c r="B10" s="51" t="s">
        <v>365</v>
      </c>
      <c r="C10" s="43">
        <f t="shared" ref="C10:H10" si="1">C5+C7-C8</f>
        <v>17031256.18999999</v>
      </c>
      <c r="D10" s="43">
        <f t="shared" si="1"/>
        <v>13743383.70999999</v>
      </c>
      <c r="E10" s="43">
        <f t="shared" si="1"/>
        <v>14711430.669999991</v>
      </c>
      <c r="F10" s="43">
        <f t="shared" si="1"/>
        <v>15264613.629999992</v>
      </c>
      <c r="G10" s="43">
        <f t="shared" si="1"/>
        <v>14575862.76999999</v>
      </c>
      <c r="H10" s="43">
        <f t="shared" si="1"/>
        <v>16777919.859899994</v>
      </c>
      <c r="I10" s="43">
        <f t="shared" ref="I10:N10" si="2">I5+I7-I8</f>
        <v>16777919.859899994</v>
      </c>
      <c r="J10" s="43">
        <f t="shared" si="2"/>
        <v>16777919.859899994</v>
      </c>
      <c r="K10" s="43">
        <f t="shared" si="2"/>
        <v>16777919.859899994</v>
      </c>
      <c r="L10" s="43">
        <f t="shared" si="2"/>
        <v>16777919.859899994</v>
      </c>
      <c r="M10" s="43">
        <f t="shared" si="2"/>
        <v>16777919.859899994</v>
      </c>
      <c r="N10" s="43">
        <f t="shared" si="2"/>
        <v>16777919.859899994</v>
      </c>
    </row>
    <row r="11" spans="1:14" ht="15.75" customHeight="1" thickTop="1">
      <c r="A11" s="10"/>
      <c r="B11" s="3"/>
      <c r="C11" s="9"/>
      <c r="D11" s="9"/>
      <c r="E11" s="9"/>
      <c r="F11" s="9"/>
      <c r="G11" s="9"/>
      <c r="H11" s="9"/>
      <c r="I11" s="9"/>
      <c r="J11" s="9"/>
      <c r="K11" s="9"/>
      <c r="L11" s="9"/>
      <c r="M11" s="9"/>
      <c r="N11" s="9"/>
    </row>
    <row r="12" spans="1:14" ht="15.75" customHeight="1" thickBot="1"/>
    <row r="13" spans="1:14" ht="33.75" customHeight="1" thickTop="1" thickBot="1">
      <c r="A13" s="10"/>
      <c r="B13" s="538" t="s">
        <v>363</v>
      </c>
      <c r="C13" s="538"/>
      <c r="D13" s="538"/>
      <c r="E13" s="323"/>
      <c r="F13" s="538" t="s">
        <v>368</v>
      </c>
      <c r="G13" s="538"/>
      <c r="H13" s="538"/>
      <c r="I13" s="538"/>
      <c r="K13" s="539" t="s">
        <v>370</v>
      </c>
      <c r="L13" s="539"/>
      <c r="M13" s="539"/>
      <c r="N13" s="539"/>
    </row>
    <row r="14" spans="1:14" ht="24" customHeight="1" thickTop="1">
      <c r="A14" s="10" t="s">
        <v>256</v>
      </c>
      <c r="B14" s="53" t="s">
        <v>255</v>
      </c>
      <c r="C14" s="53"/>
      <c r="D14" s="45">
        <f>'Prov. Pessoal'!N36</f>
        <v>10190309.989999995</v>
      </c>
      <c r="E14" s="323"/>
      <c r="F14" s="3" t="s">
        <v>371</v>
      </c>
      <c r="G14" s="3"/>
      <c r="H14" s="3"/>
      <c r="I14" s="325">
        <f>F40</f>
        <v>445303.45999999996</v>
      </c>
      <c r="K14" s="326" t="s">
        <v>359</v>
      </c>
      <c r="L14" s="326"/>
      <c r="M14" s="53"/>
      <c r="N14" s="164">
        <v>1853619.3500000003</v>
      </c>
    </row>
    <row r="15" spans="1:14" ht="24" customHeight="1">
      <c r="A15" s="10" t="s">
        <v>45</v>
      </c>
      <c r="B15" s="163" t="s">
        <v>240</v>
      </c>
      <c r="C15" s="163"/>
      <c r="D15" s="321">
        <f>SUM('Comp.'!E5:E422)</f>
        <v>3194966.7899999996</v>
      </c>
      <c r="E15" s="323"/>
      <c r="F15" s="49" t="s">
        <v>378</v>
      </c>
      <c r="G15" s="49"/>
      <c r="H15" s="49"/>
      <c r="I15" s="42">
        <f>G40</f>
        <v>8532147.6399999987</v>
      </c>
      <c r="K15" s="327" t="s">
        <v>360</v>
      </c>
      <c r="L15" s="327"/>
      <c r="M15" s="163"/>
      <c r="N15" s="165">
        <f>SUMPRODUCT(-(Reserva!$C$4:$C$39=Resumo!$K15),-(Reserva!$D$4:$D$39))</f>
        <v>58298.49</v>
      </c>
    </row>
    <row r="16" spans="1:14" ht="24" customHeight="1">
      <c r="A16" s="10" t="s">
        <v>331</v>
      </c>
      <c r="B16" s="167" t="s">
        <v>330</v>
      </c>
      <c r="C16" s="167"/>
      <c r="D16" s="322">
        <v>0</v>
      </c>
      <c r="E16" s="323"/>
      <c r="F16" s="49" t="s">
        <v>377</v>
      </c>
      <c r="G16" s="49"/>
      <c r="H16" s="49"/>
      <c r="I16" s="42">
        <f>H40</f>
        <v>7800000</v>
      </c>
      <c r="K16" s="327" t="s">
        <v>362</v>
      </c>
      <c r="L16" s="327"/>
      <c r="M16" s="167"/>
      <c r="N16" s="165">
        <f>SUMPRODUCT(-(Reserva!$C$4:$C$39=Resumo!$K16),-(Reserva!$D$4:$D$39))</f>
        <v>116993.9</v>
      </c>
    </row>
    <row r="17" spans="1:14" ht="24" customHeight="1" thickBot="1">
      <c r="A17" s="10" t="s">
        <v>221</v>
      </c>
      <c r="B17" s="50" t="s">
        <v>367</v>
      </c>
      <c r="C17" s="50"/>
      <c r="D17" s="318">
        <f>N10-D14-D15-D16</f>
        <v>3392643.0798999998</v>
      </c>
      <c r="F17" s="49" t="s">
        <v>372</v>
      </c>
      <c r="G17" s="49"/>
      <c r="H17" s="49"/>
      <c r="I17" s="42">
        <f>351.13</f>
        <v>351.13</v>
      </c>
      <c r="K17" s="327" t="s">
        <v>361</v>
      </c>
      <c r="L17" s="327"/>
      <c r="M17" s="163"/>
      <c r="N17" s="165">
        <f>SUMPRODUCT(-(Reserva!$C$4:$C$39=Resumo!$K17),-(Reserva!$D$4:$D$39))</f>
        <v>52436.75</v>
      </c>
    </row>
    <row r="18" spans="1:14" ht="24" customHeight="1" thickTop="1" thickBot="1">
      <c r="A18" s="10" t="s">
        <v>239</v>
      </c>
      <c r="B18" s="50" t="s">
        <v>364</v>
      </c>
      <c r="C18" s="50"/>
      <c r="D18" s="318">
        <f>SUM(D14:D17)</f>
        <v>16777919.859899994</v>
      </c>
      <c r="E18" s="324" t="s">
        <v>239</v>
      </c>
      <c r="F18" s="51" t="s">
        <v>373</v>
      </c>
      <c r="G18" s="51"/>
      <c r="H18" s="51"/>
      <c r="I18" s="319">
        <f>SUM(I14:I17)</f>
        <v>16777802.229999997</v>
      </c>
      <c r="K18" s="328" t="s">
        <v>358</v>
      </c>
      <c r="L18" s="328"/>
      <c r="M18" s="54"/>
      <c r="N18" s="166">
        <f>N14+N15+N16-N17</f>
        <v>1976474.9900000002</v>
      </c>
    </row>
    <row r="19" spans="1:14" ht="24" customHeight="1" thickTop="1" thickBot="1">
      <c r="A19" s="10"/>
      <c r="B19" s="3"/>
      <c r="C19" s="3"/>
      <c r="D19" s="9"/>
      <c r="E19" s="323"/>
      <c r="F19" s="3"/>
      <c r="G19" s="3"/>
      <c r="H19" s="3"/>
      <c r="I19" s="48"/>
      <c r="K19" s="21"/>
      <c r="L19" s="21"/>
      <c r="M19" s="3"/>
      <c r="N19" s="348"/>
    </row>
    <row r="20" spans="1:14" ht="24.75" customHeight="1" thickTop="1" thickBot="1">
      <c r="B20" s="7"/>
      <c r="C20" s="7"/>
      <c r="E20" s="324" t="s">
        <v>84</v>
      </c>
      <c r="F20" s="534" t="s">
        <v>369</v>
      </c>
      <c r="G20" s="534"/>
      <c r="H20" s="534"/>
      <c r="I20" s="320">
        <f>I18-D18</f>
        <v>-117.62989999726415</v>
      </c>
    </row>
    <row r="21" spans="1:14" ht="15.75" customHeight="1" thickTop="1">
      <c r="G21" s="8"/>
      <c r="H21" s="8"/>
    </row>
    <row r="22" spans="1:14" ht="13.5" thickBot="1"/>
    <row r="23" spans="1:14" ht="33" customHeight="1" thickTop="1" thickBot="1">
      <c r="B23" s="527" t="s">
        <v>561</v>
      </c>
      <c r="C23" s="527"/>
      <c r="D23" s="528"/>
      <c r="E23" s="531" t="s">
        <v>366</v>
      </c>
      <c r="F23" s="533" t="s">
        <v>562</v>
      </c>
      <c r="G23" s="533"/>
      <c r="H23" s="533"/>
      <c r="I23" s="533"/>
      <c r="J23" s="533"/>
      <c r="K23" s="533"/>
    </row>
    <row r="24" spans="1:14" ht="33" customHeight="1" thickTop="1" thickBot="1">
      <c r="B24" s="529"/>
      <c r="C24" s="529"/>
      <c r="D24" s="530"/>
      <c r="E24" s="532"/>
      <c r="F24" s="363" t="s">
        <v>563</v>
      </c>
      <c r="G24" s="363" t="s">
        <v>564</v>
      </c>
      <c r="H24" s="364" t="s">
        <v>565</v>
      </c>
      <c r="I24" s="365" t="s">
        <v>566</v>
      </c>
      <c r="J24" s="366" t="s">
        <v>567</v>
      </c>
      <c r="K24" s="365" t="s">
        <v>568</v>
      </c>
    </row>
    <row r="25" spans="1:14" ht="13.5" thickTop="1">
      <c r="B25" s="367" t="s">
        <v>573</v>
      </c>
      <c r="C25" s="368"/>
      <c r="D25" s="369"/>
      <c r="E25" s="370">
        <v>8149705.3200000003</v>
      </c>
      <c r="F25" s="370"/>
      <c r="G25" s="371">
        <v>42184.04</v>
      </c>
      <c r="H25" s="372">
        <v>7800000</v>
      </c>
      <c r="I25" s="371">
        <f>SUM(F25:H25)</f>
        <v>7842184.04</v>
      </c>
      <c r="J25" s="373">
        <f>IF(B25="",0,SUMPRODUCT(('Comp.'!$J$5:$J$422=Resumo!B25)*('Comp.'!$E$5:$E$422)))</f>
        <v>0</v>
      </c>
      <c r="K25" s="374">
        <f t="shared" ref="K25:K39" si="3">I25-J25</f>
        <v>7842184.04</v>
      </c>
    </row>
    <row r="26" spans="1:14">
      <c r="B26" s="367" t="s">
        <v>574</v>
      </c>
      <c r="C26" s="367"/>
      <c r="D26" s="375"/>
      <c r="E26" s="376">
        <v>1578886.42</v>
      </c>
      <c r="F26" s="376">
        <v>10</v>
      </c>
      <c r="G26" s="377">
        <v>414639.18</v>
      </c>
      <c r="H26" s="372">
        <v>0</v>
      </c>
      <c r="I26" s="371">
        <f>SUM(F26:H26)</f>
        <v>414649.18</v>
      </c>
      <c r="J26" s="373">
        <f>IF(B26="",0,SUMPRODUCT(('Comp.'!$J$5:$J$422=Resumo!B26)*('Comp.'!$E$5:$E$422)))</f>
        <v>460964.95</v>
      </c>
      <c r="K26" s="378">
        <f t="shared" si="3"/>
        <v>-46315.770000000019</v>
      </c>
    </row>
    <row r="27" spans="1:14">
      <c r="B27" s="367" t="s">
        <v>572</v>
      </c>
      <c r="C27" s="367"/>
      <c r="D27" s="375"/>
      <c r="E27" s="376">
        <v>495600.97</v>
      </c>
      <c r="F27" s="376">
        <v>10</v>
      </c>
      <c r="G27" s="377">
        <v>955192.42</v>
      </c>
      <c r="H27" s="372">
        <v>0</v>
      </c>
      <c r="I27" s="371">
        <f t="shared" ref="I27:I39" si="4">SUM(F27:H27)</f>
        <v>955202.42</v>
      </c>
      <c r="J27" s="373">
        <f>IF(B27="",0,SUMPRODUCT(('Comp.'!$J$5:$J$422=Resumo!B27)*('Comp.'!$E$5:$E$422)))</f>
        <v>834016.57000000007</v>
      </c>
      <c r="K27" s="378">
        <f t="shared" si="3"/>
        <v>121185.84999999998</v>
      </c>
    </row>
    <row r="28" spans="1:14">
      <c r="B28" s="367" t="s">
        <v>868</v>
      </c>
      <c r="C28" s="367"/>
      <c r="D28" s="375"/>
      <c r="E28" s="376">
        <v>0</v>
      </c>
      <c r="F28" s="376">
        <v>0</v>
      </c>
      <c r="G28" s="377">
        <v>5358903.2</v>
      </c>
      <c r="H28" s="372">
        <v>0</v>
      </c>
      <c r="I28" s="371">
        <f t="shared" si="4"/>
        <v>5358903.2</v>
      </c>
      <c r="J28" s="373">
        <f>IF(B28="",0,SUMPRODUCT(('Comp.'!$J$5:$J$422=Resumo!B28)*('Comp.'!$E$5:$E$422)))</f>
        <v>380930.80999999994</v>
      </c>
      <c r="K28" s="378">
        <f t="shared" si="3"/>
        <v>4977972.3900000006</v>
      </c>
    </row>
    <row r="29" spans="1:14">
      <c r="B29" s="367" t="s">
        <v>575</v>
      </c>
      <c r="C29" s="367"/>
      <c r="D29" s="375"/>
      <c r="E29" s="376">
        <v>18032.63</v>
      </c>
      <c r="F29" s="376">
        <v>10</v>
      </c>
      <c r="G29" s="377">
        <v>18864.259999999998</v>
      </c>
      <c r="H29" s="372">
        <v>0</v>
      </c>
      <c r="I29" s="371">
        <f t="shared" si="4"/>
        <v>18874.259999999998</v>
      </c>
      <c r="J29" s="373">
        <f>IF(B29="",0,SUMPRODUCT(('Comp.'!$J$5:$J$422=Resumo!B29)*('Comp.'!$E$5:$E$422)))</f>
        <v>0</v>
      </c>
      <c r="K29" s="378">
        <f t="shared" ref="K29:K35" si="5">I29-J29</f>
        <v>18874.259999999998</v>
      </c>
    </row>
    <row r="30" spans="1:14">
      <c r="B30" s="367" t="s">
        <v>576</v>
      </c>
      <c r="C30" s="367"/>
      <c r="D30" s="375"/>
      <c r="E30" s="376">
        <v>1187837.32</v>
      </c>
      <c r="F30" s="376">
        <v>0</v>
      </c>
      <c r="G30" s="377"/>
      <c r="H30" s="372">
        <v>0</v>
      </c>
      <c r="I30" s="371">
        <f t="shared" si="4"/>
        <v>0</v>
      </c>
      <c r="J30" s="373">
        <f>IF(B30="",0,SUMPRODUCT(('Comp.'!$J$5:$J$422=Resumo!B30)*('Comp.'!$E$5:$E$422)))</f>
        <v>0</v>
      </c>
      <c r="K30" s="378">
        <f t="shared" si="5"/>
        <v>0</v>
      </c>
    </row>
    <row r="31" spans="1:14">
      <c r="B31" s="367" t="s">
        <v>797</v>
      </c>
      <c r="C31" s="367"/>
      <c r="D31" s="375"/>
      <c r="E31" s="376">
        <v>0</v>
      </c>
      <c r="F31" s="376">
        <v>0</v>
      </c>
      <c r="G31" s="377"/>
      <c r="H31" s="372">
        <v>0</v>
      </c>
      <c r="I31" s="371">
        <f t="shared" si="4"/>
        <v>0</v>
      </c>
      <c r="J31" s="373">
        <f>IF(B31="",0,SUMPRODUCT(('Comp.'!$J$5:$J$422=Resumo!B31)*('Comp.'!$E$5:$E$422)))</f>
        <v>0</v>
      </c>
      <c r="K31" s="378">
        <f t="shared" ref="K31:K33" si="6">I31-J31</f>
        <v>0</v>
      </c>
    </row>
    <row r="32" spans="1:14">
      <c r="B32" s="367" t="s">
        <v>577</v>
      </c>
      <c r="C32" s="367"/>
      <c r="D32" s="375"/>
      <c r="E32" s="376">
        <v>496160.6</v>
      </c>
      <c r="F32" s="376">
        <f>496160.6-50887.14</f>
        <v>445273.45999999996</v>
      </c>
      <c r="G32" s="377">
        <v>0</v>
      </c>
      <c r="H32" s="372">
        <v>0</v>
      </c>
      <c r="I32" s="371">
        <f t="shared" si="4"/>
        <v>445273.45999999996</v>
      </c>
      <c r="J32" s="373">
        <f>IF(B32="",0,SUMPRODUCT(('Comp.'!$J$5:$J$422=Resumo!B32)*('Comp.'!$E$5:$E$422)))</f>
        <v>445273.46</v>
      </c>
      <c r="K32" s="378">
        <f t="shared" si="6"/>
        <v>0</v>
      </c>
    </row>
    <row r="33" spans="2:11">
      <c r="B33" s="367" t="s">
        <v>1780</v>
      </c>
      <c r="C33" s="367"/>
      <c r="D33" s="375"/>
      <c r="E33" s="376"/>
      <c r="F33" s="376"/>
      <c r="G33" s="377">
        <v>1339775.5900000001</v>
      </c>
      <c r="H33" s="372">
        <v>0</v>
      </c>
      <c r="I33" s="371">
        <f t="shared" si="4"/>
        <v>1339775.5900000001</v>
      </c>
      <c r="J33" s="373">
        <f>IF(B33="",0,SUMPRODUCT(('Comp.'!$J$5:$J$422=Resumo!B33)*('Comp.'!$E$5:$E$422)))</f>
        <v>0</v>
      </c>
      <c r="K33" s="378">
        <f t="shared" si="6"/>
        <v>1339775.5900000001</v>
      </c>
    </row>
    <row r="34" spans="2:11">
      <c r="B34" s="367" t="s">
        <v>2948</v>
      </c>
      <c r="C34" s="367"/>
      <c r="D34" s="375"/>
      <c r="E34" s="376">
        <v>0</v>
      </c>
      <c r="F34" s="376">
        <v>0</v>
      </c>
      <c r="G34" s="377">
        <v>402588.95</v>
      </c>
      <c r="H34" s="372">
        <v>0</v>
      </c>
      <c r="I34" s="371">
        <f t="shared" si="4"/>
        <v>402588.95</v>
      </c>
      <c r="J34" s="373">
        <f>IF(B34="",0,SUMPRODUCT(('Comp.'!$J$5:$J$422=Resumo!B34)*('Comp.'!$E$5:$E$422)))</f>
        <v>0</v>
      </c>
      <c r="K34" s="378">
        <f t="shared" si="5"/>
        <v>402588.95</v>
      </c>
    </row>
    <row r="35" spans="2:11">
      <c r="B35" s="367"/>
      <c r="C35" s="367"/>
      <c r="D35" s="375"/>
      <c r="E35" s="376">
        <v>0</v>
      </c>
      <c r="F35" s="376">
        <v>0</v>
      </c>
      <c r="G35" s="377">
        <v>0</v>
      </c>
      <c r="H35" s="372">
        <v>0</v>
      </c>
      <c r="I35" s="371">
        <f t="shared" si="4"/>
        <v>0</v>
      </c>
      <c r="J35" s="373">
        <f>IF(B35="",0,SUMPRODUCT(('Comp.'!$J$5:$J$422=Resumo!B35)*('Comp.'!$E$5:$E$422)))</f>
        <v>0</v>
      </c>
      <c r="K35" s="378">
        <f t="shared" si="5"/>
        <v>0</v>
      </c>
    </row>
    <row r="36" spans="2:11">
      <c r="B36" s="367"/>
      <c r="C36" s="367"/>
      <c r="D36" s="375"/>
      <c r="E36" s="376">
        <v>0</v>
      </c>
      <c r="F36" s="376">
        <v>0</v>
      </c>
      <c r="G36" s="377">
        <v>0</v>
      </c>
      <c r="H36" s="372">
        <v>0</v>
      </c>
      <c r="I36" s="371">
        <f t="shared" si="4"/>
        <v>0</v>
      </c>
      <c r="J36" s="373">
        <f>IF(B36="",0,SUMPRODUCT(('Comp.'!$J$5:$J$422=Resumo!B36)*('Comp.'!$E$5:$E$422)))</f>
        <v>0</v>
      </c>
      <c r="K36" s="378">
        <f t="shared" si="3"/>
        <v>0</v>
      </c>
    </row>
    <row r="37" spans="2:11">
      <c r="B37" s="367"/>
      <c r="C37" s="367"/>
      <c r="D37" s="375"/>
      <c r="E37" s="376">
        <v>0</v>
      </c>
      <c r="F37" s="376">
        <v>0</v>
      </c>
      <c r="G37" s="377">
        <v>0</v>
      </c>
      <c r="H37" s="372">
        <v>0</v>
      </c>
      <c r="I37" s="371">
        <f t="shared" si="4"/>
        <v>0</v>
      </c>
      <c r="J37" s="373">
        <f>IF(B37="",0,SUMPRODUCT(('Comp.'!$J$5:$J$422=Resumo!B37)*('Comp.'!$E$5:$E$422)))</f>
        <v>0</v>
      </c>
      <c r="K37" s="378">
        <f t="shared" si="3"/>
        <v>0</v>
      </c>
    </row>
    <row r="38" spans="2:11">
      <c r="B38" s="367"/>
      <c r="C38" s="367"/>
      <c r="D38" s="375"/>
      <c r="E38" s="376">
        <v>0</v>
      </c>
      <c r="F38" s="376">
        <v>0</v>
      </c>
      <c r="G38" s="377">
        <v>0</v>
      </c>
      <c r="H38" s="372">
        <v>0</v>
      </c>
      <c r="I38" s="371">
        <f t="shared" si="4"/>
        <v>0</v>
      </c>
      <c r="J38" s="373">
        <f>IF(B38="",0,SUMPRODUCT(('Comp.'!$J$5:$J$422=Resumo!B38)*('Comp.'!$E$5:$E$422)))</f>
        <v>0</v>
      </c>
      <c r="K38" s="378">
        <f t="shared" si="3"/>
        <v>0</v>
      </c>
    </row>
    <row r="39" spans="2:11" ht="13.5" thickBot="1">
      <c r="B39" s="379"/>
      <c r="C39" s="379"/>
      <c r="D39" s="380"/>
      <c r="E39" s="376">
        <v>0</v>
      </c>
      <c r="F39" s="376">
        <v>0</v>
      </c>
      <c r="G39" s="377">
        <v>0</v>
      </c>
      <c r="H39" s="372">
        <v>0</v>
      </c>
      <c r="I39" s="371">
        <f t="shared" si="4"/>
        <v>0</v>
      </c>
      <c r="J39" s="373">
        <f>IF(B39="",0,SUMPRODUCT(('Comp.'!$J$5:$J$422=Resumo!B39)*('Comp.'!$E$5:$E$422)))</f>
        <v>0</v>
      </c>
      <c r="K39" s="378">
        <f t="shared" si="3"/>
        <v>0</v>
      </c>
    </row>
    <row r="40" spans="2:11" ht="14.25" thickTop="1" thickBot="1">
      <c r="B40" s="381" t="s">
        <v>250</v>
      </c>
      <c r="C40" s="381"/>
      <c r="D40" s="381"/>
      <c r="E40" s="382">
        <f t="shared" ref="E40:K40" si="7">SUM(E25:E39)</f>
        <v>11926223.260000002</v>
      </c>
      <c r="F40" s="382">
        <f t="shared" si="7"/>
        <v>445303.45999999996</v>
      </c>
      <c r="G40" s="383">
        <f t="shared" si="7"/>
        <v>8532147.6399999987</v>
      </c>
      <c r="H40" s="384">
        <f t="shared" si="7"/>
        <v>7800000</v>
      </c>
      <c r="I40" s="383">
        <f t="shared" si="7"/>
        <v>16777451.099999998</v>
      </c>
      <c r="J40" s="385">
        <f t="shared" si="7"/>
        <v>2121185.79</v>
      </c>
      <c r="K40" s="383">
        <f t="shared" si="7"/>
        <v>14656265.309999999</v>
      </c>
    </row>
    <row r="41" spans="2:11" ht="13.5" thickTop="1"/>
  </sheetData>
  <sheetProtection algorithmName="SHA-512" hashValue="p0QVpR6tG0/v3sfJ2NvhDUdK4vJX90nolTXdGSr5WAx4+srzK8AR90pVdlkWkU7CyT8a8K2ByovrrQf6CeXxhg==" saltValue="CyMY/EM1Hpb7JrPaj4gSNA==" spinCount="100000" sheet="1" formatColumns="0"/>
  <mergeCells count="10">
    <mergeCell ref="A1:N1"/>
    <mergeCell ref="A2:N2"/>
    <mergeCell ref="B13:D13"/>
    <mergeCell ref="K13:N13"/>
    <mergeCell ref="F13:I13"/>
    <mergeCell ref="B23:D24"/>
    <mergeCell ref="E23:E24"/>
    <mergeCell ref="F23:K23"/>
    <mergeCell ref="F20:H20"/>
    <mergeCell ref="A3:N3"/>
  </mergeCells>
  <phoneticPr fontId="0" type="noConversion"/>
  <printOptions horizontalCentered="1"/>
  <pageMargins left="0.19685039370078741" right="0.19685039370078741" top="0.59055118110236227" bottom="0.59055118110236227" header="0" footer="0"/>
  <pageSetup paperSize="9" scale="60" fitToHeight="0" pageOrder="overThenDown" orientation="landscape" r:id="rId1"/>
  <headerFooter>
    <oddFoote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Z57"/>
  <sheetViews>
    <sheetView showGridLines="0" topLeftCell="A34" zoomScaleNormal="100" workbookViewId="0">
      <selection activeCell="H47" sqref="H47"/>
    </sheetView>
  </sheetViews>
  <sheetFormatPr defaultColWidth="17" defaultRowHeight="30" customHeight="1"/>
  <cols>
    <col min="1" max="1" width="5.140625" style="145" customWidth="1"/>
    <col min="2" max="2" width="18" style="145" customWidth="1"/>
    <col min="3" max="3" width="12.5703125" style="145" customWidth="1"/>
    <col min="4" max="4" width="14.140625" style="145" customWidth="1"/>
    <col min="5" max="8" width="12.5703125" style="145" customWidth="1"/>
    <col min="9" max="12" width="12.5703125" style="145" hidden="1" customWidth="1"/>
    <col min="13" max="13" width="14.42578125" style="145" hidden="1" customWidth="1"/>
    <col min="14" max="14" width="15.140625" style="145" hidden="1" customWidth="1"/>
    <col min="15" max="15" width="14.42578125" style="148" customWidth="1"/>
    <col min="16" max="16" width="2.42578125" style="148" customWidth="1"/>
    <col min="17" max="17" width="12.5703125" style="145" customWidth="1"/>
    <col min="18" max="18" width="14.140625" style="145" bestFit="1" customWidth="1"/>
    <col min="19" max="19" width="12.5703125" style="145" customWidth="1"/>
    <col min="20" max="20" width="12.5703125" style="149" customWidth="1"/>
    <col min="21" max="22" width="12.5703125" style="145" customWidth="1"/>
    <col min="23" max="23" width="12" style="145" customWidth="1"/>
    <col min="24" max="24" width="2.42578125" style="145" customWidth="1"/>
    <col min="25" max="25" width="10.5703125" style="145" customWidth="1"/>
    <col min="26" max="26" width="13" style="145" bestFit="1" customWidth="1"/>
    <col min="27" max="16384" width="17" style="145"/>
  </cols>
  <sheetData>
    <row r="1" spans="1:26" s="147" customFormat="1" ht="30.75" customHeight="1">
      <c r="A1" s="541" t="str">
        <f>Capa!A70</f>
        <v xml:space="preserve">Contrato de Gestão nº06/2020 - Secretaria Estadual de Cultura e Instituto Cultural Filarmonica </v>
      </c>
      <c r="B1" s="541"/>
      <c r="C1" s="541"/>
      <c r="D1" s="541"/>
      <c r="E1" s="541"/>
      <c r="F1" s="541"/>
      <c r="G1" s="541"/>
      <c r="H1" s="541"/>
      <c r="I1" s="541"/>
      <c r="J1" s="541"/>
      <c r="K1" s="541"/>
      <c r="L1" s="541"/>
      <c r="M1" s="541"/>
      <c r="N1" s="541"/>
      <c r="O1" s="541"/>
      <c r="P1" s="170"/>
      <c r="Q1" s="170"/>
      <c r="R1" s="170"/>
      <c r="S1" s="170"/>
      <c r="T1" s="170"/>
      <c r="U1" s="170"/>
      <c r="V1" s="170"/>
      <c r="W1" s="170"/>
      <c r="X1" s="170"/>
      <c r="Y1" s="170"/>
      <c r="Z1" s="170"/>
    </row>
    <row r="2" spans="1:26" s="147" customFormat="1" ht="18" customHeight="1">
      <c r="A2" s="541" t="str">
        <f>Capa!A5</f>
        <v>24º Relatório Gerencial Financeiro</v>
      </c>
      <c r="B2" s="541"/>
      <c r="C2" s="541"/>
      <c r="D2" s="541"/>
      <c r="E2" s="541"/>
      <c r="F2" s="541"/>
      <c r="G2" s="541"/>
      <c r="H2" s="541"/>
      <c r="I2" s="541"/>
      <c r="J2" s="541"/>
      <c r="K2" s="541"/>
      <c r="L2" s="541"/>
      <c r="M2" s="541"/>
      <c r="N2" s="541"/>
      <c r="O2" s="541"/>
      <c r="P2" s="170"/>
      <c r="Q2" s="170"/>
      <c r="R2" s="170"/>
      <c r="S2" s="170"/>
      <c r="T2" s="170"/>
      <c r="U2" s="170"/>
      <c r="V2" s="170"/>
      <c r="W2" s="170"/>
      <c r="X2" s="170"/>
      <c r="Y2" s="170"/>
      <c r="Z2" s="170"/>
    </row>
    <row r="3" spans="1:26" s="147" customFormat="1" ht="18" customHeight="1" thickBot="1">
      <c r="A3" s="544" t="s">
        <v>266</v>
      </c>
      <c r="B3" s="544"/>
      <c r="C3" s="544"/>
      <c r="D3" s="544"/>
      <c r="E3" s="544"/>
      <c r="F3" s="544"/>
      <c r="G3" s="544"/>
      <c r="H3" s="544"/>
      <c r="I3" s="544"/>
      <c r="J3" s="544"/>
      <c r="K3" s="544"/>
      <c r="L3" s="544"/>
      <c r="M3" s="544"/>
      <c r="N3" s="544"/>
      <c r="O3" s="544"/>
      <c r="P3" s="171"/>
      <c r="Q3" s="171"/>
      <c r="R3" s="171"/>
      <c r="S3" s="171"/>
      <c r="T3" s="171"/>
      <c r="U3" s="171"/>
      <c r="V3" s="171"/>
      <c r="W3" s="171"/>
      <c r="X3" s="171"/>
      <c r="Y3" s="171"/>
      <c r="Z3" s="171"/>
    </row>
    <row r="4" spans="1:26" s="147" customFormat="1" ht="25.5" customHeight="1" thickBot="1">
      <c r="A4" s="293"/>
      <c r="B4" s="293"/>
      <c r="C4" s="294">
        <f>Resumo!C4</f>
        <v>46023</v>
      </c>
      <c r="D4" s="294">
        <f>Resumo!D4</f>
        <v>46054</v>
      </c>
      <c r="E4" s="294">
        <f>Resumo!E4</f>
        <v>46082</v>
      </c>
      <c r="F4" s="294">
        <f>Resumo!F4</f>
        <v>46113</v>
      </c>
      <c r="G4" s="294">
        <f>Resumo!G4</f>
        <v>46143</v>
      </c>
      <c r="H4" s="294">
        <f>Resumo!H4</f>
        <v>46174</v>
      </c>
      <c r="I4" s="294">
        <f>Resumo!I4</f>
        <v>46204</v>
      </c>
      <c r="J4" s="294">
        <f>Resumo!J4</f>
        <v>46235</v>
      </c>
      <c r="K4" s="294">
        <f>Resumo!K4</f>
        <v>46266</v>
      </c>
      <c r="L4" s="294">
        <f>Resumo!L4</f>
        <v>46296</v>
      </c>
      <c r="M4" s="294">
        <f>Resumo!M4</f>
        <v>46327</v>
      </c>
      <c r="N4" s="294">
        <f>Resumo!N4</f>
        <v>46357</v>
      </c>
      <c r="O4" s="295" t="s">
        <v>5</v>
      </c>
    </row>
    <row r="5" spans="1:26" s="147" customFormat="1" ht="20.25" customHeight="1" thickBot="1">
      <c r="A5" s="292"/>
      <c r="B5" s="292"/>
      <c r="C5" s="540" t="s">
        <v>146</v>
      </c>
      <c r="D5" s="540"/>
      <c r="E5" s="540"/>
      <c r="F5" s="540"/>
      <c r="G5" s="540"/>
      <c r="H5" s="540"/>
      <c r="I5" s="540"/>
      <c r="J5" s="540"/>
      <c r="K5" s="540"/>
      <c r="L5" s="540"/>
      <c r="M5" s="540"/>
      <c r="N5" s="540"/>
      <c r="O5" s="540"/>
    </row>
    <row r="6" spans="1:26" s="147" customFormat="1" ht="20.25" customHeight="1" thickBot="1">
      <c r="A6" s="298">
        <v>1</v>
      </c>
      <c r="B6" s="269" t="s">
        <v>143</v>
      </c>
      <c r="C6" s="299"/>
      <c r="D6" s="299"/>
      <c r="E6" s="299"/>
      <c r="F6" s="299"/>
      <c r="G6" s="299"/>
      <c r="H6" s="299"/>
      <c r="I6" s="299"/>
      <c r="J6" s="299"/>
      <c r="K6" s="299"/>
      <c r="L6" s="299"/>
      <c r="M6" s="299"/>
      <c r="N6" s="299"/>
      <c r="O6" s="295"/>
    </row>
    <row r="7" spans="1:26" ht="21" customHeight="1">
      <c r="A7" s="202" t="s">
        <v>15</v>
      </c>
      <c r="B7" s="39" t="s">
        <v>338</v>
      </c>
      <c r="C7" s="78">
        <v>0</v>
      </c>
      <c r="D7" s="78">
        <v>6500000</v>
      </c>
      <c r="E7" s="78">
        <v>0</v>
      </c>
      <c r="F7" s="78"/>
      <c r="G7" s="78">
        <v>4875000</v>
      </c>
      <c r="H7" s="78"/>
      <c r="I7" s="78"/>
      <c r="J7" s="78"/>
      <c r="K7" s="78"/>
      <c r="L7" s="78"/>
      <c r="M7" s="78"/>
      <c r="N7" s="78"/>
      <c r="O7" s="69">
        <f>SUM(C7:N7)</f>
        <v>11375000</v>
      </c>
    </row>
    <row r="8" spans="1:26" ht="21" customHeight="1">
      <c r="A8" s="288" t="s">
        <v>286</v>
      </c>
      <c r="B8" s="289" t="s">
        <v>339</v>
      </c>
      <c r="C8" s="300">
        <v>20000</v>
      </c>
      <c r="D8" s="300">
        <v>20000</v>
      </c>
      <c r="E8" s="300">
        <v>20000</v>
      </c>
      <c r="F8" s="300">
        <v>20000</v>
      </c>
      <c r="G8" s="300">
        <v>20000</v>
      </c>
      <c r="H8" s="300">
        <v>20000</v>
      </c>
      <c r="I8" s="300"/>
      <c r="J8" s="300"/>
      <c r="K8" s="300"/>
      <c r="L8" s="300"/>
      <c r="M8" s="300"/>
      <c r="N8" s="300"/>
      <c r="O8" s="76">
        <f>SUM(C8:N8)</f>
        <v>120000</v>
      </c>
    </row>
    <row r="9" spans="1:26" ht="21" customHeight="1">
      <c r="A9" s="202" t="s">
        <v>332</v>
      </c>
      <c r="B9" s="39" t="s">
        <v>353</v>
      </c>
      <c r="C9" s="78"/>
      <c r="D9" s="78"/>
      <c r="E9" s="78"/>
      <c r="F9" s="78"/>
      <c r="G9" s="78"/>
      <c r="H9" s="78"/>
      <c r="I9" s="78"/>
      <c r="J9" s="78"/>
      <c r="K9" s="78"/>
      <c r="L9" s="78"/>
      <c r="M9" s="78"/>
      <c r="N9" s="78"/>
      <c r="O9" s="65"/>
    </row>
    <row r="10" spans="1:26" ht="21" customHeight="1">
      <c r="A10" s="290" t="s">
        <v>333</v>
      </c>
      <c r="B10" s="39" t="s">
        <v>334</v>
      </c>
      <c r="C10" s="78">
        <v>0</v>
      </c>
      <c r="D10" s="78">
        <v>0</v>
      </c>
      <c r="E10" s="78">
        <v>1700000</v>
      </c>
      <c r="F10" s="78">
        <v>1700000</v>
      </c>
      <c r="G10" s="78">
        <v>1700000</v>
      </c>
      <c r="H10" s="78">
        <v>1700000</v>
      </c>
      <c r="I10" s="78"/>
      <c r="J10" s="78"/>
      <c r="K10" s="78"/>
      <c r="L10" s="78"/>
      <c r="M10" s="78"/>
      <c r="N10" s="78"/>
      <c r="O10" s="69">
        <f>SUM(C10:N10)</f>
        <v>6800000</v>
      </c>
    </row>
    <row r="11" spans="1:26" ht="21" customHeight="1">
      <c r="A11" s="290" t="s">
        <v>335</v>
      </c>
      <c r="B11" s="39" t="s">
        <v>336</v>
      </c>
      <c r="C11" s="78">
        <v>160000</v>
      </c>
      <c r="D11" s="78">
        <v>160000</v>
      </c>
      <c r="E11" s="78">
        <v>160000</v>
      </c>
      <c r="F11" s="78">
        <v>160000</v>
      </c>
      <c r="G11" s="78">
        <v>160000</v>
      </c>
      <c r="H11" s="78">
        <v>160000</v>
      </c>
      <c r="I11" s="78"/>
      <c r="J11" s="78"/>
      <c r="K11" s="78"/>
      <c r="L11" s="78"/>
      <c r="M11" s="78"/>
      <c r="N11" s="78"/>
      <c r="O11" s="69">
        <f>SUM(C11:N11)</f>
        <v>960000</v>
      </c>
    </row>
    <row r="12" spans="1:26" ht="21" customHeight="1">
      <c r="A12" s="290" t="s">
        <v>337</v>
      </c>
      <c r="B12" s="291" t="s">
        <v>153</v>
      </c>
      <c r="C12" s="79">
        <f>220000+275000</f>
        <v>495000</v>
      </c>
      <c r="D12" s="79">
        <f t="shared" ref="D12:H12" si="0">220000+275000</f>
        <v>495000</v>
      </c>
      <c r="E12" s="79">
        <f t="shared" si="0"/>
        <v>495000</v>
      </c>
      <c r="F12" s="79">
        <f t="shared" si="0"/>
        <v>495000</v>
      </c>
      <c r="G12" s="79">
        <f t="shared" si="0"/>
        <v>495000</v>
      </c>
      <c r="H12" s="79">
        <f t="shared" si="0"/>
        <v>495000</v>
      </c>
      <c r="I12" s="79"/>
      <c r="J12" s="79"/>
      <c r="K12" s="79"/>
      <c r="L12" s="79"/>
      <c r="M12" s="79"/>
      <c r="N12" s="79"/>
      <c r="O12" s="69">
        <f>SUM(C12:N12)</f>
        <v>2970000</v>
      </c>
    </row>
    <row r="13" spans="1:26" ht="21" customHeight="1" thickBot="1">
      <c r="A13" s="545" t="s">
        <v>354</v>
      </c>
      <c r="B13" s="545"/>
      <c r="C13" s="362">
        <f>SUBTOTAL(9,C9:C12)</f>
        <v>655000</v>
      </c>
      <c r="D13" s="362">
        <f t="shared" ref="D13:N13" si="1">SUBTOTAL(9,D9:D12)</f>
        <v>655000</v>
      </c>
      <c r="E13" s="362">
        <f t="shared" si="1"/>
        <v>2355000</v>
      </c>
      <c r="F13" s="362">
        <f t="shared" si="1"/>
        <v>2355000</v>
      </c>
      <c r="G13" s="362">
        <f t="shared" si="1"/>
        <v>2355000</v>
      </c>
      <c r="H13" s="362">
        <f t="shared" si="1"/>
        <v>2355000</v>
      </c>
      <c r="I13" s="362">
        <f t="shared" si="1"/>
        <v>0</v>
      </c>
      <c r="J13" s="362">
        <f t="shared" si="1"/>
        <v>0</v>
      </c>
      <c r="K13" s="362">
        <f t="shared" si="1"/>
        <v>0</v>
      </c>
      <c r="L13" s="362">
        <f t="shared" si="1"/>
        <v>0</v>
      </c>
      <c r="M13" s="362">
        <f t="shared" si="1"/>
        <v>0</v>
      </c>
      <c r="N13" s="362">
        <f t="shared" si="1"/>
        <v>0</v>
      </c>
      <c r="O13" s="304">
        <f>SUM(C13:N13)</f>
        <v>10730000</v>
      </c>
    </row>
    <row r="14" spans="1:26" ht="20.25" customHeight="1" thickBot="1">
      <c r="A14" s="542" t="s">
        <v>238</v>
      </c>
      <c r="B14" s="542"/>
      <c r="C14" s="303">
        <f>SUBTOTAL(9,C7:C13)</f>
        <v>675000</v>
      </c>
      <c r="D14" s="303">
        <f t="shared" ref="D14:N14" si="2">SUBTOTAL(9,D7:D13)</f>
        <v>7175000</v>
      </c>
      <c r="E14" s="303">
        <f t="shared" si="2"/>
        <v>2375000</v>
      </c>
      <c r="F14" s="303">
        <f t="shared" si="2"/>
        <v>2375000</v>
      </c>
      <c r="G14" s="303">
        <f t="shared" si="2"/>
        <v>7250000</v>
      </c>
      <c r="H14" s="303">
        <f t="shared" si="2"/>
        <v>2375000</v>
      </c>
      <c r="I14" s="303">
        <f t="shared" si="2"/>
        <v>0</v>
      </c>
      <c r="J14" s="303">
        <f t="shared" si="2"/>
        <v>0</v>
      </c>
      <c r="K14" s="303">
        <f t="shared" si="2"/>
        <v>0</v>
      </c>
      <c r="L14" s="303">
        <f t="shared" si="2"/>
        <v>0</v>
      </c>
      <c r="M14" s="303">
        <f t="shared" si="2"/>
        <v>0</v>
      </c>
      <c r="N14" s="303">
        <f t="shared" si="2"/>
        <v>0</v>
      </c>
      <c r="O14" s="303">
        <f>SUM(C14:N14)</f>
        <v>22225000</v>
      </c>
    </row>
    <row r="15" spans="1:26" s="147" customFormat="1" ht="12" customHeight="1" thickBot="1">
      <c r="A15" s="71"/>
      <c r="B15" s="72"/>
      <c r="C15" s="98"/>
      <c r="D15" s="98"/>
      <c r="E15" s="98"/>
      <c r="F15" s="98"/>
      <c r="G15" s="98"/>
      <c r="H15" s="98"/>
      <c r="I15" s="98"/>
      <c r="J15" s="98"/>
      <c r="K15" s="98"/>
      <c r="L15" s="98"/>
      <c r="M15" s="98"/>
      <c r="N15" s="98"/>
      <c r="O15" s="98"/>
    </row>
    <row r="16" spans="1:26" ht="20.25" customHeight="1" thickBot="1">
      <c r="A16" s="296">
        <v>2</v>
      </c>
      <c r="B16" s="297" t="s">
        <v>144</v>
      </c>
      <c r="C16" s="305"/>
      <c r="D16" s="305"/>
      <c r="E16" s="305"/>
      <c r="F16" s="305"/>
      <c r="G16" s="305"/>
      <c r="H16" s="305"/>
      <c r="I16" s="305"/>
      <c r="J16" s="305"/>
      <c r="K16" s="305"/>
      <c r="L16" s="305"/>
      <c r="M16" s="305"/>
      <c r="N16" s="305"/>
      <c r="O16" s="306"/>
    </row>
    <row r="17" spans="1:26" ht="21" customHeight="1">
      <c r="A17" s="66" t="s">
        <v>38</v>
      </c>
      <c r="B17" s="67" t="s">
        <v>166</v>
      </c>
      <c r="C17" s="99"/>
      <c r="D17" s="99"/>
      <c r="E17" s="99"/>
      <c r="F17" s="99"/>
      <c r="G17" s="99"/>
      <c r="H17" s="99"/>
      <c r="I17" s="99"/>
      <c r="J17" s="99"/>
      <c r="K17" s="99"/>
      <c r="L17" s="99"/>
      <c r="M17" s="99"/>
      <c r="N17" s="99"/>
      <c r="O17" s="99"/>
    </row>
    <row r="18" spans="1:26" ht="21" customHeight="1">
      <c r="A18" s="75" t="s">
        <v>11</v>
      </c>
      <c r="B18" s="67" t="s">
        <v>1</v>
      </c>
      <c r="C18" s="33">
        <v>690325.18099999987</v>
      </c>
      <c r="D18" s="33">
        <v>1322597.2619999999</v>
      </c>
      <c r="E18" s="33">
        <v>1322597.2619999999</v>
      </c>
      <c r="F18" s="33">
        <v>1322597.2619999999</v>
      </c>
      <c r="G18" s="33">
        <v>1388727.1250999998</v>
      </c>
      <c r="H18" s="33">
        <v>1388727.1250999998</v>
      </c>
      <c r="I18" s="33"/>
      <c r="J18" s="33"/>
      <c r="K18" s="33"/>
      <c r="L18" s="33"/>
      <c r="M18" s="33"/>
      <c r="N18" s="33"/>
      <c r="O18" s="69">
        <f t="shared" ref="O18:O26" si="3">SUM(C18:N18)</f>
        <v>7435571.2171999989</v>
      </c>
    </row>
    <row r="19" spans="1:26" ht="21" customHeight="1">
      <c r="A19" s="75" t="s">
        <v>12</v>
      </c>
      <c r="B19" s="67" t="s">
        <v>7</v>
      </c>
      <c r="C19" s="33">
        <v>15300</v>
      </c>
      <c r="D19" s="33">
        <v>15300</v>
      </c>
      <c r="E19" s="33">
        <v>15300</v>
      </c>
      <c r="F19" s="33">
        <v>42300</v>
      </c>
      <c r="G19" s="33">
        <v>16050</v>
      </c>
      <c r="H19" s="33">
        <v>16050</v>
      </c>
      <c r="I19" s="33"/>
      <c r="J19" s="33"/>
      <c r="K19" s="33"/>
      <c r="L19" s="33"/>
      <c r="M19" s="33"/>
      <c r="N19" s="33"/>
      <c r="O19" s="69">
        <f t="shared" si="3"/>
        <v>120300</v>
      </c>
    </row>
    <row r="20" spans="1:26" ht="21" customHeight="1">
      <c r="A20" s="75" t="s">
        <v>13</v>
      </c>
      <c r="B20" s="67" t="s">
        <v>36</v>
      </c>
      <c r="C20" s="33">
        <v>895385.56986583339</v>
      </c>
      <c r="D20" s="33">
        <v>895385.56986583339</v>
      </c>
      <c r="E20" s="33">
        <v>895385.56986583339</v>
      </c>
      <c r="F20" s="33">
        <v>895385.56986583339</v>
      </c>
      <c r="G20" s="33">
        <v>940086.34835912508</v>
      </c>
      <c r="H20" s="33">
        <v>940086.34835912508</v>
      </c>
      <c r="I20" s="33"/>
      <c r="J20" s="33"/>
      <c r="K20" s="33"/>
      <c r="L20" s="33"/>
      <c r="M20" s="33"/>
      <c r="N20" s="33"/>
      <c r="O20" s="69">
        <f t="shared" si="3"/>
        <v>5461714.9761815835</v>
      </c>
    </row>
    <row r="21" spans="1:26" ht="21" customHeight="1">
      <c r="A21" s="75" t="s">
        <v>14</v>
      </c>
      <c r="B21" s="67" t="s">
        <v>37</v>
      </c>
      <c r="C21" s="33">
        <v>356431.08999999997</v>
      </c>
      <c r="D21" s="33">
        <v>356431.08999999997</v>
      </c>
      <c r="E21" s="33">
        <v>356431.08999999997</v>
      </c>
      <c r="F21" s="33">
        <v>356431.08999999997</v>
      </c>
      <c r="G21" s="33">
        <v>356431.08999999997</v>
      </c>
      <c r="H21" s="33">
        <v>356431.08999999997</v>
      </c>
      <c r="I21" s="33"/>
      <c r="J21" s="33"/>
      <c r="K21" s="33"/>
      <c r="L21" s="33"/>
      <c r="M21" s="33"/>
      <c r="N21" s="33"/>
      <c r="O21" s="69">
        <f t="shared" si="3"/>
        <v>2138586.5399999996</v>
      </c>
    </row>
    <row r="22" spans="1:26" ht="21" customHeight="1">
      <c r="A22" s="543" t="s">
        <v>47</v>
      </c>
      <c r="B22" s="543"/>
      <c r="C22" s="362">
        <f t="shared" ref="C22:H22" si="4">SUM(C18:C21)</f>
        <v>1957441.8408658332</v>
      </c>
      <c r="D22" s="362">
        <f t="shared" si="4"/>
        <v>2589713.921865833</v>
      </c>
      <c r="E22" s="362">
        <f t="shared" si="4"/>
        <v>2589713.921865833</v>
      </c>
      <c r="F22" s="362">
        <f t="shared" si="4"/>
        <v>2616713.921865833</v>
      </c>
      <c r="G22" s="362">
        <f t="shared" si="4"/>
        <v>2701294.5634591249</v>
      </c>
      <c r="H22" s="362">
        <f t="shared" si="4"/>
        <v>2701294.5634591249</v>
      </c>
      <c r="I22" s="362">
        <f t="shared" ref="I22:M22" si="5">SUM(I18:I21)</f>
        <v>0</v>
      </c>
      <c r="J22" s="362">
        <f t="shared" si="5"/>
        <v>0</v>
      </c>
      <c r="K22" s="362">
        <f t="shared" si="5"/>
        <v>0</v>
      </c>
      <c r="L22" s="362">
        <f t="shared" si="5"/>
        <v>0</v>
      </c>
      <c r="M22" s="362">
        <f t="shared" si="5"/>
        <v>0</v>
      </c>
      <c r="N22" s="362">
        <f t="shared" ref="N22" si="6">SUM(N18:N21)</f>
        <v>0</v>
      </c>
      <c r="O22" s="76">
        <f t="shared" si="3"/>
        <v>15156172.733381581</v>
      </c>
    </row>
    <row r="23" spans="1:26" ht="21" customHeight="1">
      <c r="A23" s="66" t="s">
        <v>39</v>
      </c>
      <c r="B23" s="67" t="s">
        <v>248</v>
      </c>
      <c r="C23" s="33">
        <v>1155450</v>
      </c>
      <c r="D23" s="33">
        <v>1212950</v>
      </c>
      <c r="E23" s="33">
        <v>1212950</v>
      </c>
      <c r="F23" s="33">
        <v>1212950</v>
      </c>
      <c r="G23" s="33">
        <v>1212950</v>
      </c>
      <c r="H23" s="33">
        <v>1347150</v>
      </c>
      <c r="I23" s="33"/>
      <c r="J23" s="33"/>
      <c r="K23" s="33"/>
      <c r="L23" s="33"/>
      <c r="M23" s="33"/>
      <c r="N23" s="33"/>
      <c r="O23" s="69">
        <f t="shared" si="3"/>
        <v>7354400</v>
      </c>
    </row>
    <row r="24" spans="1:26" ht="21" customHeight="1">
      <c r="A24" s="314" t="s">
        <v>40</v>
      </c>
      <c r="B24" s="315" t="s">
        <v>132</v>
      </c>
      <c r="C24" s="316">
        <v>0</v>
      </c>
      <c r="D24" s="316">
        <v>10000</v>
      </c>
      <c r="E24" s="316">
        <v>10000</v>
      </c>
      <c r="F24" s="316">
        <v>10000</v>
      </c>
      <c r="G24" s="316">
        <v>10000</v>
      </c>
      <c r="H24" s="316">
        <v>120000</v>
      </c>
      <c r="I24" s="316"/>
      <c r="J24" s="316"/>
      <c r="K24" s="316"/>
      <c r="L24" s="316"/>
      <c r="M24" s="316"/>
      <c r="N24" s="316"/>
      <c r="O24" s="76">
        <f t="shared" si="3"/>
        <v>160000</v>
      </c>
    </row>
    <row r="25" spans="1:26" ht="21" customHeight="1" thickBot="1">
      <c r="A25" s="155" t="s">
        <v>285</v>
      </c>
      <c r="B25" s="156" t="s">
        <v>360</v>
      </c>
      <c r="C25" s="157">
        <v>20000</v>
      </c>
      <c r="D25" s="157">
        <v>20000</v>
      </c>
      <c r="E25" s="157">
        <v>20000</v>
      </c>
      <c r="F25" s="157">
        <v>20000</v>
      </c>
      <c r="G25" s="157">
        <v>20000</v>
      </c>
      <c r="H25" s="157">
        <v>20000</v>
      </c>
      <c r="I25" s="157"/>
      <c r="J25" s="157"/>
      <c r="K25" s="157"/>
      <c r="L25" s="157"/>
      <c r="M25" s="157"/>
      <c r="N25" s="157"/>
      <c r="O25" s="159">
        <f t="shared" si="3"/>
        <v>120000</v>
      </c>
    </row>
    <row r="26" spans="1:26" ht="20.25" customHeight="1" thickBot="1">
      <c r="A26" s="268" t="s">
        <v>237</v>
      </c>
      <c r="B26" s="307"/>
      <c r="C26" s="303">
        <f t="shared" ref="C26:H26" si="7">SUM(C22:C25)</f>
        <v>3132891.8408658332</v>
      </c>
      <c r="D26" s="303">
        <f t="shared" si="7"/>
        <v>3832663.921865833</v>
      </c>
      <c r="E26" s="303">
        <f t="shared" si="7"/>
        <v>3832663.921865833</v>
      </c>
      <c r="F26" s="303">
        <f t="shared" si="7"/>
        <v>3859663.921865833</v>
      </c>
      <c r="G26" s="303">
        <f t="shared" si="7"/>
        <v>3944244.5634591249</v>
      </c>
      <c r="H26" s="303">
        <f t="shared" si="7"/>
        <v>4188444.5634591249</v>
      </c>
      <c r="I26" s="303">
        <f t="shared" ref="I26:M26" si="8">SUM(I22:I25)</f>
        <v>0</v>
      </c>
      <c r="J26" s="303">
        <f t="shared" si="8"/>
        <v>0</v>
      </c>
      <c r="K26" s="303">
        <f t="shared" si="8"/>
        <v>0</v>
      </c>
      <c r="L26" s="303">
        <f t="shared" si="8"/>
        <v>0</v>
      </c>
      <c r="M26" s="303">
        <f t="shared" si="8"/>
        <v>0</v>
      </c>
      <c r="N26" s="303">
        <f t="shared" ref="N26" si="9">SUM(N22:N25)</f>
        <v>0</v>
      </c>
      <c r="O26" s="303">
        <f t="shared" si="3"/>
        <v>22790572.733381581</v>
      </c>
    </row>
    <row r="27" spans="1:26" ht="12.75" customHeight="1" thickBot="1">
      <c r="A27" s="142"/>
      <c r="B27" s="143"/>
      <c r="C27" s="127"/>
      <c r="D27" s="127"/>
      <c r="E27" s="127"/>
      <c r="F27" s="127"/>
      <c r="G27" s="127"/>
      <c r="H27" s="127"/>
      <c r="I27" s="127"/>
      <c r="J27" s="127"/>
      <c r="K27" s="127"/>
      <c r="L27" s="127"/>
      <c r="M27" s="127"/>
      <c r="N27" s="127"/>
      <c r="O27" s="127"/>
      <c r="P27" s="127"/>
      <c r="Q27" s="127"/>
      <c r="R27" s="127"/>
      <c r="S27" s="127"/>
      <c r="T27" s="127"/>
      <c r="U27" s="127"/>
      <c r="V27" s="127"/>
      <c r="W27" s="127"/>
      <c r="X27" s="127"/>
      <c r="Y27" s="144"/>
      <c r="Z27" s="127"/>
    </row>
    <row r="28" spans="1:26" s="147" customFormat="1" ht="25.5" customHeight="1" thickBot="1">
      <c r="A28" s="293"/>
      <c r="B28" s="293"/>
      <c r="C28" s="294">
        <f>Resumo!C4</f>
        <v>46023</v>
      </c>
      <c r="D28" s="294">
        <f>Resumo!D4</f>
        <v>46054</v>
      </c>
      <c r="E28" s="294">
        <f>Resumo!E4</f>
        <v>46082</v>
      </c>
      <c r="F28" s="294">
        <f>Resumo!F4</f>
        <v>46113</v>
      </c>
      <c r="G28" s="294">
        <f>Resumo!G4</f>
        <v>46143</v>
      </c>
      <c r="H28" s="294">
        <f>Resumo!H4</f>
        <v>46174</v>
      </c>
      <c r="I28" s="294">
        <f>Resumo!I4</f>
        <v>46204</v>
      </c>
      <c r="J28" s="294">
        <f>Resumo!J4</f>
        <v>46235</v>
      </c>
      <c r="K28" s="294">
        <f>Resumo!K4</f>
        <v>46266</v>
      </c>
      <c r="L28" s="294">
        <f>Resumo!L4</f>
        <v>46296</v>
      </c>
      <c r="M28" s="294">
        <f>Resumo!M4</f>
        <v>46327</v>
      </c>
      <c r="N28" s="294">
        <f>Resumo!N4</f>
        <v>46357</v>
      </c>
      <c r="O28" s="295" t="s">
        <v>5</v>
      </c>
    </row>
    <row r="29" spans="1:26" ht="20.25" customHeight="1" thickBot="1">
      <c r="A29" s="302"/>
      <c r="B29" s="301"/>
      <c r="C29" s="540" t="s">
        <v>147</v>
      </c>
      <c r="D29" s="540"/>
      <c r="E29" s="540"/>
      <c r="F29" s="540"/>
      <c r="G29" s="540"/>
      <c r="H29" s="540"/>
      <c r="I29" s="540"/>
      <c r="J29" s="540"/>
      <c r="K29" s="540"/>
      <c r="L29" s="540"/>
      <c r="M29" s="540"/>
      <c r="N29" s="540"/>
      <c r="O29" s="540"/>
      <c r="P29" s="80"/>
      <c r="S29" s="127"/>
      <c r="T29" s="127"/>
      <c r="U29" s="127"/>
      <c r="V29" s="127"/>
      <c r="W29" s="127"/>
      <c r="X29" s="127"/>
      <c r="Y29" s="144"/>
      <c r="Z29" s="127"/>
    </row>
    <row r="30" spans="1:26" ht="22.5" customHeight="1" thickBot="1">
      <c r="A30" s="298">
        <v>1</v>
      </c>
      <c r="B30" s="269" t="s">
        <v>143</v>
      </c>
      <c r="C30" s="299"/>
      <c r="D30" s="299"/>
      <c r="E30" s="299"/>
      <c r="F30" s="299"/>
      <c r="G30" s="299"/>
      <c r="H30" s="299"/>
      <c r="I30" s="299"/>
      <c r="J30" s="299"/>
      <c r="K30" s="299"/>
      <c r="L30" s="299"/>
      <c r="M30" s="299"/>
      <c r="N30" s="299"/>
      <c r="O30" s="295"/>
      <c r="P30" s="65"/>
      <c r="Q30" s="295" t="s">
        <v>265</v>
      </c>
      <c r="R30" s="295" t="s">
        <v>145</v>
      </c>
      <c r="T30" s="145"/>
    </row>
    <row r="31" spans="1:26" ht="21" customHeight="1">
      <c r="A31" s="202" t="s">
        <v>15</v>
      </c>
      <c r="B31" s="39" t="s">
        <v>338</v>
      </c>
      <c r="C31" s="68">
        <f>'Analítico Cp.'!C6</f>
        <v>0</v>
      </c>
      <c r="D31" s="68">
        <f>'Analítico Cp.'!D6</f>
        <v>1842751</v>
      </c>
      <c r="E31" s="68">
        <f>'Analítico Cp.'!E6</f>
        <v>1842751</v>
      </c>
      <c r="F31" s="68">
        <f>'Analítico Cp.'!F6</f>
        <v>1842751</v>
      </c>
      <c r="G31" s="68">
        <f>'Analítico Cp.'!G6</f>
        <v>1842751</v>
      </c>
      <c r="H31" s="68">
        <f>'Analítico Cp.'!H6</f>
        <v>1842751</v>
      </c>
      <c r="I31" s="68">
        <f>'Analítico Cp.'!I6</f>
        <v>0</v>
      </c>
      <c r="J31" s="68">
        <f>'Analítico Cp.'!J6</f>
        <v>0</v>
      </c>
      <c r="K31" s="68">
        <f>'Analítico Cp.'!K6</f>
        <v>0</v>
      </c>
      <c r="L31" s="68">
        <f>'Analítico Cp.'!L6</f>
        <v>0</v>
      </c>
      <c r="M31" s="68">
        <f>'Analítico Cp.'!M6</f>
        <v>0</v>
      </c>
      <c r="N31" s="68">
        <f>'Analítico Cp.'!N6</f>
        <v>0</v>
      </c>
      <c r="O31" s="69">
        <f>SUM(C31:N31)</f>
        <v>9213755</v>
      </c>
      <c r="P31" s="68"/>
      <c r="Q31" s="88">
        <f>IF(O7=0,"-",O31/O7)</f>
        <v>0.81000043956043954</v>
      </c>
      <c r="R31" s="68">
        <f>O7-O31</f>
        <v>2161245</v>
      </c>
      <c r="S31" s="150"/>
    </row>
    <row r="32" spans="1:26" ht="21" customHeight="1">
      <c r="A32" s="288" t="s">
        <v>286</v>
      </c>
      <c r="B32" s="289" t="s">
        <v>339</v>
      </c>
      <c r="C32" s="317">
        <f>'Analítico Cp.'!C7</f>
        <v>16273.810000000001</v>
      </c>
      <c r="D32" s="317">
        <f>'Analítico Cp.'!D7</f>
        <v>11536.789999999999</v>
      </c>
      <c r="E32" s="317">
        <f>'Analítico Cp.'!E7</f>
        <v>13484.310000000001</v>
      </c>
      <c r="F32" s="317">
        <f>'Analítico Cp.'!F7</f>
        <v>9819.92</v>
      </c>
      <c r="G32" s="317">
        <f>'Analítico Cp.'!G7</f>
        <v>11751.59</v>
      </c>
      <c r="H32" s="317">
        <f>'Analítico Cp.'!H7</f>
        <v>14201.310000000001</v>
      </c>
      <c r="I32" s="317">
        <f>'Analítico Cp.'!I7</f>
        <v>0</v>
      </c>
      <c r="J32" s="317">
        <f>'Analítico Cp.'!J7</f>
        <v>0</v>
      </c>
      <c r="K32" s="317">
        <f>'Analítico Cp.'!K7</f>
        <v>0</v>
      </c>
      <c r="L32" s="317">
        <f>'Analítico Cp.'!L7</f>
        <v>0</v>
      </c>
      <c r="M32" s="317">
        <f>'Analítico Cp.'!M7</f>
        <v>0</v>
      </c>
      <c r="N32" s="317">
        <f>'Analítico Cp.'!N7</f>
        <v>0</v>
      </c>
      <c r="O32" s="76">
        <f>SUM(C32:N32)</f>
        <v>77067.73</v>
      </c>
      <c r="P32" s="68"/>
      <c r="Q32" s="88">
        <f>IF(O8=0,"-",O32/O8)</f>
        <v>0.64223108333333334</v>
      </c>
      <c r="R32" s="68">
        <f>O8-O32</f>
        <v>42932.270000000004</v>
      </c>
    </row>
    <row r="33" spans="1:20" ht="21" customHeight="1">
      <c r="A33" s="202" t="s">
        <v>332</v>
      </c>
      <c r="B33" s="39" t="s">
        <v>353</v>
      </c>
      <c r="C33" s="68"/>
      <c r="D33" s="68"/>
      <c r="E33" s="68"/>
      <c r="F33" s="68"/>
      <c r="G33" s="68"/>
      <c r="H33" s="68"/>
      <c r="I33" s="68"/>
      <c r="J33" s="68"/>
      <c r="K33" s="68"/>
      <c r="L33" s="68"/>
      <c r="M33" s="68"/>
      <c r="N33" s="68"/>
      <c r="O33" s="68"/>
      <c r="P33" s="68"/>
      <c r="Q33" s="65"/>
      <c r="R33" s="65"/>
    </row>
    <row r="34" spans="1:20" ht="21" customHeight="1">
      <c r="A34" s="290" t="s">
        <v>333</v>
      </c>
      <c r="B34" s="39" t="s">
        <v>334</v>
      </c>
      <c r="C34" s="68">
        <f>'Analítico Cp.'!C9</f>
        <v>25907.909999999996</v>
      </c>
      <c r="D34" s="68">
        <f>'Analítico Cp.'!D9</f>
        <v>-3229433.88</v>
      </c>
      <c r="E34" s="68">
        <f>'Analítico Cp.'!E9</f>
        <v>1740828.8</v>
      </c>
      <c r="F34" s="68">
        <f>'Analítico Cp.'!F9</f>
        <v>1504599.0999999999</v>
      </c>
      <c r="G34" s="68">
        <f>'Analítico Cp.'!G9</f>
        <v>182513.16</v>
      </c>
      <c r="H34" s="68">
        <f>'Analítico Cp.'!H9</f>
        <v>4097610.9499999997</v>
      </c>
      <c r="I34" s="68">
        <f>'Analítico Cp.'!I9</f>
        <v>0</v>
      </c>
      <c r="J34" s="68">
        <f>'Analítico Cp.'!J9</f>
        <v>0</v>
      </c>
      <c r="K34" s="68">
        <f>'Analítico Cp.'!K9</f>
        <v>0</v>
      </c>
      <c r="L34" s="68">
        <f>'Analítico Cp.'!L9</f>
        <v>0</v>
      </c>
      <c r="M34" s="68">
        <f>'Analítico Cp.'!M9</f>
        <v>0</v>
      </c>
      <c r="N34" s="68">
        <f>'Analítico Cp.'!N9</f>
        <v>0</v>
      </c>
      <c r="O34" s="69">
        <f>SUM(C34:N34)</f>
        <v>4322026.04</v>
      </c>
      <c r="P34" s="68"/>
      <c r="Q34" s="88">
        <f>IF(O10=0,"-",O34/O10)</f>
        <v>0.63559206470588236</v>
      </c>
      <c r="R34" s="68">
        <f>O10-O34</f>
        <v>2477973.96</v>
      </c>
      <c r="S34" s="150"/>
    </row>
    <row r="35" spans="1:20" ht="21" customHeight="1">
      <c r="A35" s="290" t="s">
        <v>335</v>
      </c>
      <c r="B35" s="39" t="s">
        <v>336</v>
      </c>
      <c r="C35" s="68">
        <f>'Analítico Cp.'!C10</f>
        <v>158950.63</v>
      </c>
      <c r="D35" s="68">
        <f>'Analítico Cp.'!D10</f>
        <v>119126.62000000001</v>
      </c>
      <c r="E35" s="68">
        <f>'Analítico Cp.'!E10</f>
        <v>124131.91000000002</v>
      </c>
      <c r="F35" s="68">
        <f>'Analítico Cp.'!F10</f>
        <v>108559.13</v>
      </c>
      <c r="G35" s="68">
        <f>'Analítico Cp.'!G10</f>
        <v>69778.25</v>
      </c>
      <c r="H35" s="68">
        <f>'Analítico Cp.'!H10</f>
        <v>109096.33</v>
      </c>
      <c r="I35" s="68">
        <f>'Analítico Cp.'!I10</f>
        <v>0</v>
      </c>
      <c r="J35" s="68">
        <f>'Analítico Cp.'!J10</f>
        <v>0</v>
      </c>
      <c r="K35" s="68">
        <f>'Analítico Cp.'!K10</f>
        <v>0</v>
      </c>
      <c r="L35" s="68">
        <f>'Analítico Cp.'!L10</f>
        <v>0</v>
      </c>
      <c r="M35" s="68">
        <f>'Analítico Cp.'!M10</f>
        <v>0</v>
      </c>
      <c r="N35" s="68">
        <f>'Analítico Cp.'!N10</f>
        <v>0</v>
      </c>
      <c r="O35" s="69">
        <f>SUM(C35:N35)</f>
        <v>689642.87</v>
      </c>
      <c r="P35" s="68"/>
      <c r="Q35" s="88">
        <f>IF(O11=0,"-",O35/O11)</f>
        <v>0.71837798958333332</v>
      </c>
      <c r="R35" s="68">
        <f>O11-O35</f>
        <v>270357.13</v>
      </c>
      <c r="S35" s="150"/>
    </row>
    <row r="36" spans="1:20" ht="21" customHeight="1">
      <c r="A36" s="290" t="s">
        <v>337</v>
      </c>
      <c r="B36" s="291" t="s">
        <v>153</v>
      </c>
      <c r="C36" s="70">
        <f>'Analítico Cp.'!C11</f>
        <v>402985.23000000004</v>
      </c>
      <c r="D36" s="70">
        <f>'Analítico Cp.'!D11</f>
        <v>261722.72</v>
      </c>
      <c r="E36" s="70">
        <f>'Analítico Cp.'!E11</f>
        <v>398806.79999999993</v>
      </c>
      <c r="F36" s="70">
        <f>'Analítico Cp.'!F11</f>
        <v>707812.46999999986</v>
      </c>
      <c r="G36" s="70">
        <f>'Analítico Cp.'!G11</f>
        <v>682675.84</v>
      </c>
      <c r="H36" s="70">
        <f>'Analítico Cp.'!H11</f>
        <v>178354.15</v>
      </c>
      <c r="I36" s="70">
        <f>'Analítico Cp.'!I11</f>
        <v>0</v>
      </c>
      <c r="J36" s="70">
        <f>'Analítico Cp.'!J11</f>
        <v>0</v>
      </c>
      <c r="K36" s="70">
        <f>'Analítico Cp.'!K11</f>
        <v>0</v>
      </c>
      <c r="L36" s="70">
        <f>'Analítico Cp.'!L11</f>
        <v>0</v>
      </c>
      <c r="M36" s="70">
        <f>'Analítico Cp.'!M11</f>
        <v>0</v>
      </c>
      <c r="N36" s="70">
        <f>'Analítico Cp.'!N11</f>
        <v>0</v>
      </c>
      <c r="O36" s="92">
        <f>SUM(C36:N36)</f>
        <v>2632357.2099999995</v>
      </c>
      <c r="P36" s="68"/>
      <c r="Q36" s="89">
        <f>IF(O12=0,"-",O36/O12)</f>
        <v>0.88631555892255875</v>
      </c>
      <c r="R36" s="70">
        <f>O12-O36</f>
        <v>337642.7900000005</v>
      </c>
    </row>
    <row r="37" spans="1:20" ht="21" customHeight="1" thickBot="1">
      <c r="A37" s="545" t="s">
        <v>354</v>
      </c>
      <c r="B37" s="545"/>
      <c r="C37" s="76">
        <f>SUBTOTAL(9,C33:C36)</f>
        <v>587843.77</v>
      </c>
      <c r="D37" s="76">
        <f t="shared" ref="D37:N37" si="10">SUBTOTAL(9,D33:D36)</f>
        <v>-2848584.5399999996</v>
      </c>
      <c r="E37" s="76">
        <f t="shared" si="10"/>
        <v>2263767.5099999998</v>
      </c>
      <c r="F37" s="76">
        <f t="shared" si="10"/>
        <v>2320970.6999999997</v>
      </c>
      <c r="G37" s="76">
        <f t="shared" si="10"/>
        <v>934967.25</v>
      </c>
      <c r="H37" s="76">
        <f t="shared" si="10"/>
        <v>4385061.43</v>
      </c>
      <c r="I37" s="76">
        <f t="shared" si="10"/>
        <v>0</v>
      </c>
      <c r="J37" s="76">
        <f t="shared" si="10"/>
        <v>0</v>
      </c>
      <c r="K37" s="76">
        <f t="shared" si="10"/>
        <v>0</v>
      </c>
      <c r="L37" s="76">
        <f t="shared" si="10"/>
        <v>0</v>
      </c>
      <c r="M37" s="76">
        <f t="shared" si="10"/>
        <v>0</v>
      </c>
      <c r="N37" s="76">
        <f t="shared" si="10"/>
        <v>0</v>
      </c>
      <c r="O37" s="76">
        <f>SUM(C37:N37)</f>
        <v>7644026.1199999992</v>
      </c>
      <c r="P37" s="69"/>
      <c r="Q37" s="87">
        <f>IF(O13=0,"-",O37/O13)</f>
        <v>0.71239758807082942</v>
      </c>
      <c r="R37" s="77">
        <f>O13-O37</f>
        <v>3085973.8800000008</v>
      </c>
    </row>
    <row r="38" spans="1:20" ht="20.25" customHeight="1" thickBot="1">
      <c r="A38" s="542" t="s">
        <v>238</v>
      </c>
      <c r="B38" s="542"/>
      <c r="C38" s="303">
        <f>SUBTOTAL(9,C31:C37)</f>
        <v>604117.58000000007</v>
      </c>
      <c r="D38" s="303">
        <f t="shared" ref="D38:N38" si="11">SUBTOTAL(9,D31:D37)</f>
        <v>-994296.74999999977</v>
      </c>
      <c r="E38" s="303">
        <f t="shared" si="11"/>
        <v>4120002.8200000003</v>
      </c>
      <c r="F38" s="303">
        <f t="shared" si="11"/>
        <v>4173541.6199999992</v>
      </c>
      <c r="G38" s="303">
        <f t="shared" si="11"/>
        <v>2789469.84</v>
      </c>
      <c r="H38" s="303">
        <f t="shared" si="11"/>
        <v>6242013.7400000002</v>
      </c>
      <c r="I38" s="303">
        <f t="shared" si="11"/>
        <v>0</v>
      </c>
      <c r="J38" s="303">
        <f t="shared" si="11"/>
        <v>0</v>
      </c>
      <c r="K38" s="303">
        <f t="shared" si="11"/>
        <v>0</v>
      </c>
      <c r="L38" s="303">
        <f t="shared" si="11"/>
        <v>0</v>
      </c>
      <c r="M38" s="303">
        <f t="shared" si="11"/>
        <v>0</v>
      </c>
      <c r="N38" s="303">
        <f t="shared" si="11"/>
        <v>0</v>
      </c>
      <c r="O38" s="303">
        <f>SUM(C38:N38)</f>
        <v>16934848.850000001</v>
      </c>
      <c r="P38" s="69"/>
      <c r="Q38" s="313">
        <f>IF(O14=0,"-",O38/O14)</f>
        <v>0.76197295163104617</v>
      </c>
      <c r="R38" s="303">
        <f>O14-O38</f>
        <v>5290151.1499999985</v>
      </c>
    </row>
    <row r="39" spans="1:20" ht="12" customHeight="1" thickBot="1">
      <c r="A39" s="71"/>
      <c r="B39" s="72"/>
      <c r="C39" s="73"/>
      <c r="D39" s="73"/>
      <c r="E39" s="73"/>
      <c r="F39" s="73"/>
      <c r="G39" s="73"/>
      <c r="H39" s="73"/>
      <c r="I39" s="73"/>
      <c r="J39" s="73"/>
      <c r="K39" s="73"/>
      <c r="L39" s="73"/>
      <c r="M39" s="73"/>
      <c r="N39" s="73"/>
      <c r="O39" s="73"/>
      <c r="P39" s="81"/>
      <c r="Q39" s="73"/>
      <c r="R39" s="73"/>
    </row>
    <row r="40" spans="1:20" s="147" customFormat="1" ht="23.25" thickBot="1">
      <c r="A40" s="296">
        <v>2</v>
      </c>
      <c r="B40" s="297" t="s">
        <v>144</v>
      </c>
      <c r="C40" s="305"/>
      <c r="D40" s="305"/>
      <c r="E40" s="305"/>
      <c r="F40" s="305"/>
      <c r="G40" s="305"/>
      <c r="H40" s="305"/>
      <c r="I40" s="305"/>
      <c r="J40" s="305"/>
      <c r="K40" s="305"/>
      <c r="L40" s="305"/>
      <c r="M40" s="305"/>
      <c r="N40" s="305"/>
      <c r="O40" s="305"/>
      <c r="P40" s="64"/>
      <c r="Q40" s="306" t="str">
        <f>Q30</f>
        <v>Realizado
(/) Previsto</v>
      </c>
      <c r="R40" s="306" t="str">
        <f>R30</f>
        <v>Previsto
(-) Realizado</v>
      </c>
      <c r="T40" s="151"/>
    </row>
    <row r="41" spans="1:20" ht="21" customHeight="1">
      <c r="A41" s="66" t="s">
        <v>38</v>
      </c>
      <c r="B41" s="67" t="s">
        <v>166</v>
      </c>
      <c r="C41" s="74"/>
      <c r="D41" s="74"/>
      <c r="E41" s="74"/>
      <c r="F41" s="74"/>
      <c r="G41" s="74"/>
      <c r="H41" s="74"/>
      <c r="I41" s="74"/>
      <c r="J41" s="74"/>
      <c r="K41" s="74"/>
      <c r="L41" s="74"/>
      <c r="M41" s="74"/>
      <c r="N41" s="74"/>
      <c r="O41" s="74"/>
      <c r="P41" s="74"/>
      <c r="Q41" s="74"/>
      <c r="R41" s="74"/>
    </row>
    <row r="42" spans="1:20" ht="21" customHeight="1">
      <c r="A42" s="75" t="s">
        <v>11</v>
      </c>
      <c r="B42" s="67" t="s">
        <v>1</v>
      </c>
      <c r="C42" s="68">
        <f>'Analítico Cp.'!C26</f>
        <v>486210.02999999997</v>
      </c>
      <c r="D42" s="68">
        <f>'Analítico Cp.'!D26</f>
        <v>1149266.8799999999</v>
      </c>
      <c r="E42" s="68">
        <f>'Analítico Cp.'!E26</f>
        <v>1281365.2100000004</v>
      </c>
      <c r="F42" s="68">
        <f>'Analítico Cp.'!F26</f>
        <v>1277251.48</v>
      </c>
      <c r="G42" s="68">
        <f>'Analítico Cp.'!G26</f>
        <v>1299802.8500000001</v>
      </c>
      <c r="H42" s="68">
        <f>'Analítico Cp.'!H26</f>
        <v>1416252.31</v>
      </c>
      <c r="I42" s="68">
        <f>'Analítico Cp.'!I26</f>
        <v>0</v>
      </c>
      <c r="J42" s="68">
        <f>'Analítico Cp.'!J26</f>
        <v>0</v>
      </c>
      <c r="K42" s="68">
        <f>'Analítico Cp.'!K26</f>
        <v>0</v>
      </c>
      <c r="L42" s="68">
        <f>'Analítico Cp.'!L26</f>
        <v>0</v>
      </c>
      <c r="M42" s="68">
        <f>'Analítico Cp.'!M26</f>
        <v>0</v>
      </c>
      <c r="N42" s="68">
        <f>'Analítico Cp.'!N26</f>
        <v>0</v>
      </c>
      <c r="O42" s="69">
        <f t="shared" ref="O42:O50" si="12">SUM(C42:N42)</f>
        <v>6910148.7599999998</v>
      </c>
      <c r="P42" s="68"/>
      <c r="Q42" s="90">
        <f t="shared" ref="Q42:Q50" si="13">IF(O18=0,"-",O42/O18)</f>
        <v>0.92933663845696357</v>
      </c>
      <c r="R42" s="68">
        <f t="shared" ref="R42:R50" si="14">O18-O42</f>
        <v>525422.45719999913</v>
      </c>
    </row>
    <row r="43" spans="1:20" ht="21" customHeight="1">
      <c r="A43" s="75" t="s">
        <v>12</v>
      </c>
      <c r="B43" s="67" t="s">
        <v>7</v>
      </c>
      <c r="C43" s="68">
        <f>'Analítico Cp.'!C30</f>
        <v>0</v>
      </c>
      <c r="D43" s="68">
        <f>'Analítico Cp.'!D30</f>
        <v>0</v>
      </c>
      <c r="E43" s="68">
        <f>'Analítico Cp.'!E30</f>
        <v>7312.5</v>
      </c>
      <c r="F43" s="68">
        <f>'Analítico Cp.'!F30</f>
        <v>0</v>
      </c>
      <c r="G43" s="68">
        <f>'Analítico Cp.'!G30</f>
        <v>18750</v>
      </c>
      <c r="H43" s="68">
        <f>'Analítico Cp.'!H30</f>
        <v>1140</v>
      </c>
      <c r="I43" s="68">
        <f>'Analítico Cp.'!I30</f>
        <v>0</v>
      </c>
      <c r="J43" s="68">
        <f>'Analítico Cp.'!J30</f>
        <v>0</v>
      </c>
      <c r="K43" s="68">
        <f>'Analítico Cp.'!K30</f>
        <v>0</v>
      </c>
      <c r="L43" s="68">
        <f>'Analítico Cp.'!L30</f>
        <v>0</v>
      </c>
      <c r="M43" s="68">
        <f>'Analítico Cp.'!M30</f>
        <v>0</v>
      </c>
      <c r="N43" s="68">
        <f>'Analítico Cp.'!N30</f>
        <v>0</v>
      </c>
      <c r="O43" s="69">
        <f t="shared" si="12"/>
        <v>27202.5</v>
      </c>
      <c r="P43" s="68"/>
      <c r="Q43" s="90">
        <f t="shared" si="13"/>
        <v>0.22612219451371571</v>
      </c>
      <c r="R43" s="68">
        <f t="shared" si="14"/>
        <v>93097.5</v>
      </c>
    </row>
    <row r="44" spans="1:20" ht="21" customHeight="1">
      <c r="A44" s="75" t="s">
        <v>13</v>
      </c>
      <c r="B44" s="67" t="s">
        <v>36</v>
      </c>
      <c r="C44" s="68">
        <f>'Analítico Cp.'!C43</f>
        <v>1471475.2800000003</v>
      </c>
      <c r="D44" s="68">
        <f>'Analítico Cp.'!D43</f>
        <v>724207.22</v>
      </c>
      <c r="E44" s="68">
        <f>'Analítico Cp.'!E43</f>
        <v>-901098.69</v>
      </c>
      <c r="F44" s="68">
        <f>'Analítico Cp.'!F43</f>
        <v>1292406.53</v>
      </c>
      <c r="G44" s="68">
        <f>'Analítico Cp.'!G43</f>
        <v>875043.89</v>
      </c>
      <c r="H44" s="68">
        <f>'Analítico Cp.'!H43</f>
        <v>1068407.5899999999</v>
      </c>
      <c r="I44" s="68">
        <f>'Analítico Cp.'!I43</f>
        <v>0</v>
      </c>
      <c r="J44" s="68">
        <f>'Analítico Cp.'!J43</f>
        <v>0</v>
      </c>
      <c r="K44" s="68">
        <f>'Analítico Cp.'!K43</f>
        <v>0</v>
      </c>
      <c r="L44" s="68">
        <f>'Analítico Cp.'!L43</f>
        <v>0</v>
      </c>
      <c r="M44" s="68">
        <f>'Analítico Cp.'!M43</f>
        <v>0</v>
      </c>
      <c r="N44" s="68">
        <f>'Analítico Cp.'!N43</f>
        <v>0</v>
      </c>
      <c r="O44" s="69">
        <f t="shared" si="12"/>
        <v>4530441.82</v>
      </c>
      <c r="P44" s="68"/>
      <c r="Q44" s="90">
        <f t="shared" si="13"/>
        <v>0.82949070754463672</v>
      </c>
      <c r="R44" s="68">
        <f t="shared" si="14"/>
        <v>931273.15618158318</v>
      </c>
    </row>
    <row r="45" spans="1:20" ht="21" customHeight="1">
      <c r="A45" s="75" t="s">
        <v>14</v>
      </c>
      <c r="B45" s="67" t="s">
        <v>37</v>
      </c>
      <c r="C45" s="68">
        <f>'Analítico Cp.'!C54</f>
        <v>408427.27</v>
      </c>
      <c r="D45" s="68">
        <f>'Analítico Cp.'!D54</f>
        <v>136181.60999999999</v>
      </c>
      <c r="E45" s="68">
        <f>'Analítico Cp.'!E54</f>
        <v>277271.95</v>
      </c>
      <c r="F45" s="68">
        <f>'Analítico Cp.'!F54</f>
        <v>278050.74999999994</v>
      </c>
      <c r="G45" s="68">
        <f>'Analítico Cp.'!G54</f>
        <v>279648.96000000002</v>
      </c>
      <c r="H45" s="68">
        <f>'Analítico Cp.'!H54</f>
        <v>3489</v>
      </c>
      <c r="I45" s="68">
        <f>'Analítico Cp.'!I54</f>
        <v>142449.71</v>
      </c>
      <c r="J45" s="68">
        <f>'Analítico Cp.'!J54</f>
        <v>0</v>
      </c>
      <c r="K45" s="68">
        <f>'Analítico Cp.'!K54</f>
        <v>0</v>
      </c>
      <c r="L45" s="68">
        <f>'Analítico Cp.'!L54</f>
        <v>0</v>
      </c>
      <c r="M45" s="68">
        <f>'Analítico Cp.'!M54</f>
        <v>0</v>
      </c>
      <c r="N45" s="68">
        <f>'Analítico Cp.'!N54</f>
        <v>0</v>
      </c>
      <c r="O45" s="69">
        <f t="shared" si="12"/>
        <v>1525519.25</v>
      </c>
      <c r="P45" s="68"/>
      <c r="Q45" s="90">
        <f t="shared" si="13"/>
        <v>0.71333061415415078</v>
      </c>
      <c r="R45" s="68">
        <f t="shared" si="14"/>
        <v>613067.28999999957</v>
      </c>
    </row>
    <row r="46" spans="1:20" ht="21" customHeight="1">
      <c r="A46" s="543" t="s">
        <v>47</v>
      </c>
      <c r="B46" s="543"/>
      <c r="C46" s="76">
        <f t="shared" ref="C46:H46" si="15">SUM(C42:C45)</f>
        <v>2366112.58</v>
      </c>
      <c r="D46" s="76">
        <f t="shared" si="15"/>
        <v>2009655.71</v>
      </c>
      <c r="E46" s="76">
        <f t="shared" si="15"/>
        <v>664850.97000000044</v>
      </c>
      <c r="F46" s="76">
        <f t="shared" si="15"/>
        <v>2847708.76</v>
      </c>
      <c r="G46" s="76">
        <f t="shared" si="15"/>
        <v>2473245.7000000002</v>
      </c>
      <c r="H46" s="76">
        <f t="shared" si="15"/>
        <v>2489288.9</v>
      </c>
      <c r="I46" s="76">
        <f t="shared" ref="I46:M46" si="16">SUM(I42:I45)</f>
        <v>142449.71</v>
      </c>
      <c r="J46" s="76">
        <f t="shared" si="16"/>
        <v>0</v>
      </c>
      <c r="K46" s="76">
        <f t="shared" si="16"/>
        <v>0</v>
      </c>
      <c r="L46" s="76">
        <f t="shared" si="16"/>
        <v>0</v>
      </c>
      <c r="M46" s="76">
        <f t="shared" si="16"/>
        <v>0</v>
      </c>
      <c r="N46" s="76">
        <f t="shared" ref="N46" si="17">SUM(N42:N45)</f>
        <v>0</v>
      </c>
      <c r="O46" s="76">
        <f t="shared" si="12"/>
        <v>12993312.330000002</v>
      </c>
      <c r="P46" s="69"/>
      <c r="Q46" s="87">
        <f t="shared" si="13"/>
        <v>0.85729508092647544</v>
      </c>
      <c r="R46" s="77">
        <f t="shared" si="14"/>
        <v>2162860.4033815786</v>
      </c>
    </row>
    <row r="47" spans="1:20" ht="21" customHeight="1">
      <c r="A47" s="66" t="s">
        <v>39</v>
      </c>
      <c r="B47" s="67" t="s">
        <v>248</v>
      </c>
      <c r="C47" s="68">
        <f>'Analítico Cp.'!C171</f>
        <v>592379.17000000004</v>
      </c>
      <c r="D47" s="68">
        <f>'Analítico Cp.'!D171</f>
        <v>1021830.9099999999</v>
      </c>
      <c r="E47" s="68">
        <f>'Analítico Cp.'!E171</f>
        <v>1073155.4500000002</v>
      </c>
      <c r="F47" s="68">
        <f>'Analítico Cp.'!F171</f>
        <v>1433634.4999999998</v>
      </c>
      <c r="G47" s="68">
        <f>'Analítico Cp.'!G171</f>
        <v>1132754.2701000003</v>
      </c>
      <c r="H47" s="68">
        <f>'Analítico Cp.'!H171</f>
        <v>1465987.89</v>
      </c>
      <c r="I47" s="68">
        <f>'Analítico Cp.'!I171</f>
        <v>97545.36</v>
      </c>
      <c r="J47" s="68">
        <f>'Analítico Cp.'!J171</f>
        <v>0</v>
      </c>
      <c r="K47" s="68">
        <f>'Analítico Cp.'!K171</f>
        <v>0</v>
      </c>
      <c r="L47" s="68">
        <f>'Analítico Cp.'!L171</f>
        <v>0</v>
      </c>
      <c r="M47" s="68">
        <f>'Analítico Cp.'!M171</f>
        <v>0</v>
      </c>
      <c r="N47" s="68">
        <f>'Analítico Cp.'!N171</f>
        <v>0</v>
      </c>
      <c r="O47" s="69">
        <f t="shared" si="12"/>
        <v>6817287.5501000006</v>
      </c>
      <c r="P47" s="68"/>
      <c r="Q47" s="90">
        <f t="shared" si="13"/>
        <v>0.92696719652181014</v>
      </c>
      <c r="R47" s="68">
        <f t="shared" si="14"/>
        <v>537112.44989999942</v>
      </c>
    </row>
    <row r="48" spans="1:20" ht="21" customHeight="1">
      <c r="A48" s="66" t="s">
        <v>40</v>
      </c>
      <c r="B48" s="67" t="s">
        <v>132</v>
      </c>
      <c r="C48" s="154">
        <f>'Analítico Cp.'!C187</f>
        <v>2188</v>
      </c>
      <c r="D48" s="154">
        <f>'Analítico Cp.'!D187</f>
        <v>5280.8</v>
      </c>
      <c r="E48" s="154">
        <f>'Analítico Cp.'!E187</f>
        <v>22167</v>
      </c>
      <c r="F48" s="154">
        <f>'Analítico Cp.'!F187</f>
        <v>2400.35</v>
      </c>
      <c r="G48" s="154">
        <f>'Analítico Cp.'!G187</f>
        <v>47837.509999999995</v>
      </c>
      <c r="H48" s="154">
        <f>'Analítico Cp.'!H187</f>
        <v>7558</v>
      </c>
      <c r="I48" s="154">
        <f>'Analítico Cp.'!I187</f>
        <v>0</v>
      </c>
      <c r="J48" s="154">
        <f>'Analítico Cp.'!J187</f>
        <v>0</v>
      </c>
      <c r="K48" s="154">
        <f>'Analítico Cp.'!K187</f>
        <v>0</v>
      </c>
      <c r="L48" s="154">
        <f>'Analítico Cp.'!L187</f>
        <v>0</v>
      </c>
      <c r="M48" s="154">
        <f>'Analítico Cp.'!M187</f>
        <v>0</v>
      </c>
      <c r="N48" s="154">
        <f>'Analítico Cp.'!N187</f>
        <v>0</v>
      </c>
      <c r="O48" s="69">
        <f t="shared" si="12"/>
        <v>87431.659999999989</v>
      </c>
      <c r="P48" s="68"/>
      <c r="Q48" s="90">
        <f t="shared" si="13"/>
        <v>0.54644787499999992</v>
      </c>
      <c r="R48" s="68">
        <f t="shared" si="14"/>
        <v>72568.340000000011</v>
      </c>
    </row>
    <row r="49" spans="1:20" ht="21" customHeight="1" thickBot="1">
      <c r="A49" s="155" t="s">
        <v>285</v>
      </c>
      <c r="B49" s="156" t="s">
        <v>360</v>
      </c>
      <c r="C49" s="158">
        <f>'Analítico Cp.'!C188</f>
        <v>13248.15</v>
      </c>
      <c r="D49" s="158">
        <f>'Analítico Cp.'!D188</f>
        <v>9290.24</v>
      </c>
      <c r="E49" s="158">
        <f>'Analítico Cp.'!E188</f>
        <v>12329.35</v>
      </c>
      <c r="F49" s="158">
        <f>'Analítico Cp.'!F188</f>
        <v>9031.83</v>
      </c>
      <c r="G49" s="158">
        <f>'Analítico Cp.'!G188</f>
        <v>0</v>
      </c>
      <c r="H49" s="158">
        <f>'Analítico Cp.'!H188</f>
        <v>25779</v>
      </c>
      <c r="I49" s="158">
        <f>'Analítico Cp.'!I188</f>
        <v>0</v>
      </c>
      <c r="J49" s="158">
        <f>'Analítico Cp.'!J188</f>
        <v>0</v>
      </c>
      <c r="K49" s="158">
        <f>'Analítico Cp.'!K188</f>
        <v>0</v>
      </c>
      <c r="L49" s="158">
        <f>'Analítico Cp.'!L188</f>
        <v>0</v>
      </c>
      <c r="M49" s="158">
        <f>'Analítico Cp.'!M188</f>
        <v>0</v>
      </c>
      <c r="N49" s="158">
        <f>'Analítico Cp.'!N188</f>
        <v>0</v>
      </c>
      <c r="O49" s="159">
        <f t="shared" si="12"/>
        <v>69678.570000000007</v>
      </c>
      <c r="P49" s="68"/>
      <c r="Q49" s="160">
        <f t="shared" si="13"/>
        <v>0.58065475000000011</v>
      </c>
      <c r="R49" s="161">
        <f t="shared" si="14"/>
        <v>50321.429999999993</v>
      </c>
      <c r="T49" s="145"/>
    </row>
    <row r="50" spans="1:20" ht="20.25" customHeight="1" thickBot="1">
      <c r="A50" s="268" t="s">
        <v>237</v>
      </c>
      <c r="B50" s="307"/>
      <c r="C50" s="303">
        <f t="shared" ref="C50:H50" si="18">SUM(C46:C49)</f>
        <v>2973927.9</v>
      </c>
      <c r="D50" s="303">
        <f t="shared" si="18"/>
        <v>3046057.66</v>
      </c>
      <c r="E50" s="303">
        <f t="shared" si="18"/>
        <v>1772502.7700000007</v>
      </c>
      <c r="F50" s="303">
        <f t="shared" si="18"/>
        <v>4292775.4399999995</v>
      </c>
      <c r="G50" s="303">
        <f t="shared" si="18"/>
        <v>3653837.4801000003</v>
      </c>
      <c r="H50" s="303">
        <f t="shared" si="18"/>
        <v>3988613.79</v>
      </c>
      <c r="I50" s="303">
        <f t="shared" ref="I50:M50" si="19">SUM(I46:I49)</f>
        <v>239995.07</v>
      </c>
      <c r="J50" s="303">
        <f t="shared" si="19"/>
        <v>0</v>
      </c>
      <c r="K50" s="303">
        <f t="shared" si="19"/>
        <v>0</v>
      </c>
      <c r="L50" s="303">
        <f t="shared" si="19"/>
        <v>0</v>
      </c>
      <c r="M50" s="303">
        <f t="shared" si="19"/>
        <v>0</v>
      </c>
      <c r="N50" s="303">
        <f t="shared" ref="N50" si="20">SUM(N46:N49)</f>
        <v>0</v>
      </c>
      <c r="O50" s="303">
        <f t="shared" si="12"/>
        <v>19967710.110100001</v>
      </c>
      <c r="P50" s="69"/>
      <c r="Q50" s="313">
        <f t="shared" si="13"/>
        <v>0.87613902220425977</v>
      </c>
      <c r="R50" s="303">
        <f t="shared" si="14"/>
        <v>2822862.6232815795</v>
      </c>
      <c r="T50" s="145"/>
    </row>
    <row r="51" spans="1:20" ht="15.75">
      <c r="A51" s="152"/>
      <c r="B51" s="152"/>
      <c r="C51" s="152"/>
      <c r="D51" s="152"/>
      <c r="E51" s="152"/>
      <c r="F51" s="152"/>
      <c r="G51" s="152"/>
      <c r="H51" s="152"/>
      <c r="I51" s="152"/>
      <c r="J51" s="152"/>
      <c r="K51" s="152"/>
      <c r="L51" s="152"/>
      <c r="M51" s="152"/>
      <c r="N51" s="152"/>
      <c r="O51" s="146"/>
      <c r="P51" s="146"/>
      <c r="T51" s="145"/>
    </row>
    <row r="52" spans="1:20" ht="63.75" customHeight="1">
      <c r="A52" s="152"/>
      <c r="B52" s="152"/>
      <c r="C52" s="152"/>
      <c r="D52" s="152"/>
      <c r="E52" s="152"/>
      <c r="F52" s="152"/>
      <c r="G52" s="152"/>
      <c r="H52" s="152"/>
      <c r="I52" s="152"/>
      <c r="J52" s="152"/>
      <c r="K52" s="152"/>
      <c r="L52" s="152"/>
      <c r="M52" s="152"/>
      <c r="N52" s="152"/>
      <c r="O52" s="152"/>
      <c r="P52" s="152"/>
      <c r="T52" s="145"/>
    </row>
    <row r="53" spans="1:20" ht="30" customHeight="1">
      <c r="A53" s="152"/>
      <c r="B53" s="152"/>
      <c r="C53" s="152"/>
      <c r="D53" s="152"/>
      <c r="E53" s="152"/>
      <c r="F53" s="152"/>
      <c r="G53" s="152"/>
      <c r="H53" s="152"/>
      <c r="I53" s="152"/>
      <c r="J53" s="152"/>
      <c r="K53" s="152"/>
      <c r="L53" s="152"/>
      <c r="M53" s="152"/>
      <c r="N53" s="152"/>
      <c r="O53" s="152"/>
      <c r="P53" s="152"/>
      <c r="T53" s="145"/>
    </row>
    <row r="54" spans="1:20" ht="46.5" customHeight="1">
      <c r="A54" s="152"/>
      <c r="B54" s="152"/>
      <c r="C54" s="152"/>
      <c r="D54" s="152"/>
      <c r="E54" s="152"/>
      <c r="F54" s="152"/>
      <c r="G54" s="152"/>
      <c r="H54" s="152"/>
      <c r="I54" s="152"/>
      <c r="J54" s="152"/>
      <c r="K54" s="152"/>
      <c r="L54" s="152"/>
      <c r="M54" s="152"/>
      <c r="N54" s="152"/>
      <c r="O54" s="152"/>
      <c r="P54" s="152"/>
      <c r="T54" s="145"/>
    </row>
    <row r="55" spans="1:20" ht="30" customHeight="1">
      <c r="A55" s="152"/>
      <c r="B55" s="152"/>
      <c r="C55" s="152"/>
      <c r="D55" s="152"/>
      <c r="E55" s="152"/>
      <c r="F55" s="152"/>
      <c r="G55" s="152"/>
      <c r="H55" s="152"/>
      <c r="I55" s="152"/>
      <c r="J55" s="152"/>
      <c r="K55" s="152"/>
      <c r="L55" s="152"/>
      <c r="M55" s="152"/>
      <c r="N55" s="152"/>
      <c r="O55" s="152"/>
      <c r="P55" s="152"/>
      <c r="T55" s="145"/>
    </row>
    <row r="56" spans="1:20" ht="30" customHeight="1">
      <c r="A56" s="152"/>
      <c r="B56" s="152"/>
      <c r="C56" s="152"/>
      <c r="D56" s="152"/>
      <c r="E56" s="152"/>
      <c r="F56" s="152"/>
      <c r="G56" s="152"/>
      <c r="H56" s="152"/>
      <c r="I56" s="152"/>
      <c r="J56" s="152"/>
      <c r="K56" s="152"/>
      <c r="L56" s="152"/>
      <c r="M56" s="152"/>
      <c r="N56" s="152"/>
      <c r="O56" s="152"/>
      <c r="P56" s="152"/>
      <c r="T56" s="145"/>
    </row>
    <row r="57" spans="1:20" ht="30" customHeight="1">
      <c r="O57" s="152"/>
      <c r="P57" s="152"/>
      <c r="T57" s="145"/>
    </row>
  </sheetData>
  <sheetProtection algorithmName="SHA-512" hashValue="KCI9o1T/NSjHD8nJwuxkV9CIfom9hi0OGgKs5pXdRPNTRcEWYQk0EHv0HU+c+A0NRI5XJlOvrJaUBixwOpEcpw==" saltValue="GRJWN8CD73alO0tLVf4upQ==" spinCount="100000" sheet="1" objects="1" scenarios="1" formatColumns="0"/>
  <mergeCells count="11">
    <mergeCell ref="C5:O5"/>
    <mergeCell ref="C29:O29"/>
    <mergeCell ref="A1:O1"/>
    <mergeCell ref="A38:B38"/>
    <mergeCell ref="A46:B46"/>
    <mergeCell ref="A3:O3"/>
    <mergeCell ref="A2:O2"/>
    <mergeCell ref="A22:B22"/>
    <mergeCell ref="A14:B14"/>
    <mergeCell ref="A13:B13"/>
    <mergeCell ref="A37:B37"/>
  </mergeCells>
  <phoneticPr fontId="0" type="noConversion"/>
  <printOptions horizontalCentered="1"/>
  <pageMargins left="0.19685039370078741" right="0.19685039370078741" top="0.59055118110236227" bottom="0.59055118110236227" header="0" footer="0"/>
  <pageSetup paperSize="9" scale="51" pageOrder="overThenDown" orientation="landscape" r:id="rId1"/>
  <headerFooter>
    <oddFooter>Página &amp;P de &amp;N</oddFooter>
  </headerFooter>
  <ignoredErrors>
    <ignoredError sqref="C13:N1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E46"/>
  <sheetViews>
    <sheetView showGridLines="0" zoomScale="120" zoomScaleNormal="120" zoomScaleSheetLayoutView="100" workbookViewId="0">
      <selection activeCell="D9" sqref="D9"/>
    </sheetView>
  </sheetViews>
  <sheetFormatPr defaultColWidth="9.140625" defaultRowHeight="12.75"/>
  <cols>
    <col min="1" max="1" width="4.5703125" style="120" customWidth="1"/>
    <col min="2" max="2" width="49.42578125" style="120" customWidth="1"/>
    <col min="3" max="5" width="14.85546875" style="120" customWidth="1"/>
    <col min="6" max="16384" width="9.140625" style="120"/>
  </cols>
  <sheetData>
    <row r="1" spans="1:5" ht="27" customHeight="1">
      <c r="A1" s="547" t="str">
        <f>Capa!A70</f>
        <v xml:space="preserve">Contrato de Gestão nº06/2020 - Secretaria Estadual de Cultura e Instituto Cultural Filarmonica </v>
      </c>
      <c r="B1" s="547"/>
      <c r="C1" s="547"/>
      <c r="D1" s="547"/>
      <c r="E1" s="547"/>
    </row>
    <row r="2" spans="1:5" ht="15" customHeight="1">
      <c r="A2" s="547" t="str">
        <f>Capa!A5</f>
        <v>24º Relatório Gerencial Financeiro</v>
      </c>
      <c r="B2" s="547"/>
      <c r="C2" s="547"/>
      <c r="D2" s="547"/>
      <c r="E2" s="547"/>
    </row>
    <row r="3" spans="1:5" ht="17.25" customHeight="1" thickBot="1">
      <c r="A3" s="547" t="s">
        <v>380</v>
      </c>
      <c r="B3" s="547"/>
      <c r="C3" s="547"/>
      <c r="D3" s="547"/>
      <c r="E3" s="547"/>
    </row>
    <row r="4" spans="1:5" ht="33" customHeight="1" thickBot="1">
      <c r="A4" s="272" t="s">
        <v>279</v>
      </c>
      <c r="B4" s="273" t="s">
        <v>376</v>
      </c>
      <c r="C4" s="274" t="s">
        <v>146</v>
      </c>
      <c r="D4" s="275" t="s">
        <v>147</v>
      </c>
      <c r="E4" s="276" t="s">
        <v>329</v>
      </c>
    </row>
    <row r="5" spans="1:5" ht="13.5" hidden="1" thickBot="1">
      <c r="A5" s="185"/>
      <c r="B5" s="186" t="s">
        <v>280</v>
      </c>
      <c r="C5" s="121"/>
      <c r="D5" s="187"/>
      <c r="E5" s="188"/>
    </row>
    <row r="6" spans="1:5">
      <c r="A6" s="131">
        <v>1</v>
      </c>
      <c r="B6" s="281" t="s">
        <v>278</v>
      </c>
      <c r="C6" s="172">
        <f>196080*6-24500</f>
        <v>1151980</v>
      </c>
      <c r="D6" s="190">
        <f>IF(B6="",0,
SUMPRODUCT((Diário!$H$4:$H$2662='Gasto das Atividades'!B6)*(Diário!$C$4:$C$2662&gt;=Resumo!$C$4)*(Diário!$C$4:$C$2662&lt;=EOMONTH(Resumo!$N$4,0))*(Diário!$F$4:$F$2662))+
SUMPRODUCT(('Comp.'!$G$5:$G$422='Gasto das Atividades'!B6)*('Comp.'!$B$5:$B$422&gt;=Resumo!$C$4)*('Comp.'!$B$5:$B$422&lt;=EOMONTH(Resumo!$N$4,0))*('Comp.'!$E$5:$E$422)))</f>
        <v>997589.51999999909</v>
      </c>
      <c r="E6" s="189">
        <f t="shared" ref="E6:E36" si="0">IF(OR(D6=0,C6=0),"-",D6/C6)</f>
        <v>0.86597815934304334</v>
      </c>
    </row>
    <row r="7" spans="1:5">
      <c r="A7" s="132">
        <v>2</v>
      </c>
      <c r="B7" s="153" t="s">
        <v>736</v>
      </c>
      <c r="C7" s="173">
        <f>559570*6+131700</f>
        <v>3489120</v>
      </c>
      <c r="D7" s="190">
        <f>IF(B7="",0,
SUMPRODUCT((Diário!$H$4:$H$2662='Gasto das Atividades'!B7)*(Diário!$C$4:$C$2662&gt;=Resumo!$C$4)*(Diário!$C$4:$C$2662&lt;=EOMONTH(Resumo!$N$4,0))*(Diário!$F$4:$F$2662))+
SUMPRODUCT(('Comp.'!$G$5:$G$422='Gasto das Atividades'!B7)*('Comp.'!$B$5:$B$422&gt;=Resumo!$C$4)*('Comp.'!$B$5:$B$422&lt;=EOMONTH(Resumo!$N$4,0))*('Comp.'!$E$5:$E$422)))</f>
        <v>2581973.0001000008</v>
      </c>
      <c r="E7" s="191">
        <f t="shared" si="0"/>
        <v>0.74000693587494859</v>
      </c>
    </row>
    <row r="8" spans="1:5">
      <c r="A8" s="132">
        <v>3</v>
      </c>
      <c r="B8" s="153" t="s">
        <v>737</v>
      </c>
      <c r="C8" s="173">
        <f>110100*6</f>
        <v>660600</v>
      </c>
      <c r="D8" s="190">
        <f>IF(B8="",0,
SUMPRODUCT((Diário!$H$4:$H$2662='Gasto das Atividades'!B8)*(Diário!$C$4:$C$2662&gt;=Resumo!$C$4)*(Diário!$C$4:$C$2662&lt;=EOMONTH(Resumo!$N$4,0))*(Diário!$F$4:$F$2662))+
SUMPRODUCT(('Comp.'!$G$5:$G$422='Gasto das Atividades'!B8)*('Comp.'!$B$5:$B$422&gt;=Resumo!$C$4)*('Comp.'!$B$5:$B$422&lt;=EOMONTH(Resumo!$N$4,0))*('Comp.'!$E$5:$E$422)))</f>
        <v>501369.09999999963</v>
      </c>
      <c r="E8" s="191">
        <f t="shared" si="0"/>
        <v>0.75896018770814355</v>
      </c>
    </row>
    <row r="9" spans="1:5">
      <c r="A9" s="132">
        <v>4</v>
      </c>
      <c r="B9" s="153" t="s">
        <v>738</v>
      </c>
      <c r="C9" s="173">
        <f>349700*6</f>
        <v>2098200</v>
      </c>
      <c r="D9" s="190">
        <f>IF(B9="",0,
SUMPRODUCT((Diário!$H$4:$H$2662='Gasto das Atividades'!B9)*(Diário!$C$4:$C$2662&gt;=Resumo!$C$4)*(Diário!$C$4:$C$2662&lt;=EOMONTH(Resumo!$N$4,0))*(Diário!$F$4:$F$2662))+
SUMPRODUCT(('Comp.'!$G$5:$G$422='Gasto das Atividades'!B9)*('Comp.'!$B$5:$B$422&gt;=Resumo!$C$4)*('Comp.'!$B$5:$B$422&lt;=EOMONTH(Resumo!$N$4,0))*('Comp.'!$E$5:$E$422)))</f>
        <v>2427512.620000001</v>
      </c>
      <c r="E9" s="191">
        <f t="shared" si="0"/>
        <v>1.1569500619578692</v>
      </c>
    </row>
    <row r="10" spans="1:5">
      <c r="A10" s="132">
        <v>5</v>
      </c>
      <c r="B10" s="153" t="s">
        <v>166</v>
      </c>
      <c r="C10" s="173">
        <v>15805201.039999999</v>
      </c>
      <c r="D10" s="190">
        <f>IF(B10="",0,
SUMPRODUCT((Diário!$H$4:$H$2662='Gasto das Atividades'!B10)*(Diário!$C$4:$C$2662&gt;=Resumo!$C$4)*(Diário!$C$4:$C$2662&lt;=EOMONTH(Resumo!$N$4,0))*(Diário!$F$4:$F$2662))+
SUMPRODUCT(('Comp.'!$G$5:$G$422='Gasto das Atividades'!B10)*('Comp.'!$B$5:$B$422&gt;=Resumo!$C$4)*('Comp.'!$B$5:$B$422&lt;=EOMONTH(Resumo!$N$4,0))*('Comp.'!$E$5:$E$422)))</f>
        <v>11570578.58</v>
      </c>
      <c r="E10" s="191">
        <f t="shared" si="0"/>
        <v>0.73207411602782124</v>
      </c>
    </row>
    <row r="11" spans="1:5">
      <c r="A11" s="132">
        <v>6</v>
      </c>
      <c r="B11" s="153" t="s">
        <v>1029</v>
      </c>
      <c r="C11" s="173"/>
      <c r="D11" s="190">
        <f>IF(B11="",0,
SUMPRODUCT((Diário!$H$4:$H$2662='Gasto das Atividades'!B11)*(Diário!$C$4:$C$2662&gt;=Resumo!$C$4)*(Diário!$C$4:$C$2662&lt;=EOMONTH(Resumo!$N$4,0))*(Diário!$F$4:$F$2662))+
SUMPRODUCT(('Comp.'!$G$5:$G$422='Gasto das Atividades'!B11)*('Comp.'!$B$5:$B$422&gt;=Resumo!$C$4)*('Comp.'!$B$5:$B$422&lt;=EOMONTH(Resumo!$N$4,0))*('Comp.'!$E$5:$E$422)))</f>
        <v>333574.77999999991</v>
      </c>
      <c r="E11" s="191" t="str">
        <f t="shared" si="0"/>
        <v>-</v>
      </c>
    </row>
    <row r="12" spans="1:5" ht="13.5" thickBot="1">
      <c r="A12" s="132">
        <v>7</v>
      </c>
      <c r="B12" s="153" t="s">
        <v>1418</v>
      </c>
      <c r="C12" s="173"/>
      <c r="D12" s="190">
        <f>IF(B12="",0,
SUMPRODUCT((Diário!$H$4:$H$2662='Gasto das Atividades'!B12)*(Diário!$C$4:$C$2662&gt;=Resumo!$C$4)*(Diário!$C$4:$C$2662&lt;=EOMONTH(Resumo!$N$4,0))*(Diário!$F$4:$F$2662))+
SUMPRODUCT(('Comp.'!$G$5:$G$422='Gasto das Atividades'!B12)*('Comp.'!$B$5:$B$422&gt;=Resumo!$C$4)*('Comp.'!$B$5:$B$422&lt;=EOMONTH(Resumo!$N$4,0))*('Comp.'!$E$5:$E$422)))</f>
        <v>129015.09</v>
      </c>
      <c r="E12" s="191" t="str">
        <f t="shared" si="0"/>
        <v>-</v>
      </c>
    </row>
    <row r="13" spans="1:5" ht="12" hidden="1" customHeight="1">
      <c r="A13" s="132">
        <v>8</v>
      </c>
      <c r="B13" s="153"/>
      <c r="C13" s="173">
        <v>0</v>
      </c>
      <c r="D13" s="190">
        <f>IF(B13="",0,
SUMPRODUCT((Diário!$H$4:$H$2662='Gasto das Atividades'!B13)*(Diário!$C$4:$C$2662&gt;=Resumo!$C$4)*(Diário!$C$4:$C$2662&lt;=EOMONTH(Resumo!$N$4,0))*(Diário!$F$4:$F$2662))+
SUMPRODUCT(('Comp.'!$G$5:$G$422='Gasto das Atividades'!B13)*('Comp.'!$B$5:$B$422&gt;=Resumo!$C$4)*('Comp.'!$B$5:$B$422&lt;=EOMONTH(Resumo!$N$4,0))*('Comp.'!$E$5:$E$422)))</f>
        <v>0</v>
      </c>
      <c r="E13" s="191" t="str">
        <f t="shared" si="0"/>
        <v>-</v>
      </c>
    </row>
    <row r="14" spans="1:5" hidden="1">
      <c r="A14" s="132">
        <v>9</v>
      </c>
      <c r="B14" s="153"/>
      <c r="C14" s="173">
        <v>0</v>
      </c>
      <c r="D14" s="190">
        <f>IF(B14="",0,
SUMPRODUCT((Diário!$H$4:$H$2662='Gasto das Atividades'!B14)*(Diário!$C$4:$C$2662&gt;=Resumo!$C$4)*(Diário!$C$4:$C$2662&lt;=EOMONTH(Resumo!$N$4,0))*(Diário!$F$4:$F$2662))+
SUMPRODUCT(('Comp.'!$G$5:$G$422='Gasto das Atividades'!B14)*('Comp.'!$B$5:$B$422&gt;=Resumo!$C$4)*('Comp.'!$B$5:$B$422&lt;=EOMONTH(Resumo!$N$4,0))*('Comp.'!$E$5:$E$422)))</f>
        <v>0</v>
      </c>
      <c r="E14" s="191" t="str">
        <f t="shared" si="0"/>
        <v>-</v>
      </c>
    </row>
    <row r="15" spans="1:5" ht="14.45" hidden="1" customHeight="1">
      <c r="A15" s="132">
        <v>10</v>
      </c>
      <c r="B15" s="153"/>
      <c r="C15" s="173">
        <v>0</v>
      </c>
      <c r="D15" s="190">
        <f>IF(B15="",0,
SUMPRODUCT((Diário!$H$4:$H$2662='Gasto das Atividades'!B15)*(Diário!$C$4:$C$2662&gt;=Resumo!$C$4)*(Diário!$C$4:$C$2662&lt;=EOMONTH(Resumo!$N$4,0))*(Diário!$F$4:$F$2662))+
SUMPRODUCT(('Comp.'!$G$5:$G$422='Gasto das Atividades'!B15)*('Comp.'!$B$5:$B$422&gt;=Resumo!$C$4)*('Comp.'!$B$5:$B$422&lt;=EOMONTH(Resumo!$N$4,0))*('Comp.'!$E$5:$E$422)))</f>
        <v>0</v>
      </c>
      <c r="E15" s="191" t="str">
        <f t="shared" si="0"/>
        <v>-</v>
      </c>
    </row>
    <row r="16" spans="1:5" hidden="1">
      <c r="A16" s="132">
        <v>11</v>
      </c>
      <c r="B16" s="153"/>
      <c r="C16" s="173">
        <v>0</v>
      </c>
      <c r="D16" s="190">
        <f>IF(B16="",0,
SUMPRODUCT((Diário!$H$4:$H$2662='Gasto das Atividades'!B16)*(Diário!$C$4:$C$2662&gt;=Resumo!$C$4)*(Diário!$C$4:$C$2662&lt;=EOMONTH(Resumo!$N$4,0))*(Diário!$F$4:$F$2662))+
SUMPRODUCT(('Comp.'!$G$5:$G$422='Gasto das Atividades'!B16)*('Comp.'!$B$5:$B$422&gt;=Resumo!$C$4)*('Comp.'!$B$5:$B$422&lt;=EOMONTH(Resumo!$N$4,0))*('Comp.'!$E$5:$E$422)))</f>
        <v>0</v>
      </c>
      <c r="E16" s="191" t="str">
        <f t="shared" si="0"/>
        <v>-</v>
      </c>
    </row>
    <row r="17" spans="1:5" hidden="1">
      <c r="A17" s="132">
        <v>12</v>
      </c>
      <c r="B17" s="153"/>
      <c r="C17" s="134">
        <v>0</v>
      </c>
      <c r="D17" s="190">
        <f>IF(B17="",0,
SUMPRODUCT((Diário!$H$4:$H$2662='Gasto das Atividades'!B17)*(Diário!$C$4:$C$2662&gt;=Resumo!$C$4)*(Diário!$C$4:$C$2662&lt;=EOMONTH(Resumo!$N$4,0))*(Diário!$F$4:$F$2662))+
SUMPRODUCT(('Comp.'!$G$5:$G$422='Gasto das Atividades'!B17)*('Comp.'!$B$5:$B$422&gt;=Resumo!$C$4)*('Comp.'!$B$5:$B$422&lt;=EOMONTH(Resumo!$N$4,0))*('Comp.'!$E$5:$E$422)))</f>
        <v>0</v>
      </c>
      <c r="E17" s="191" t="str">
        <f t="shared" si="0"/>
        <v>-</v>
      </c>
    </row>
    <row r="18" spans="1:5" hidden="1">
      <c r="A18" s="132">
        <v>13</v>
      </c>
      <c r="B18" s="153"/>
      <c r="C18" s="134">
        <v>0</v>
      </c>
      <c r="D18" s="190">
        <f>IF(B18="",0,
SUMPRODUCT((Diário!$H$4:$H$2662='Gasto das Atividades'!B18)*(Diário!$C$4:$C$2662&gt;=Resumo!$C$4)*(Diário!$C$4:$C$2662&lt;=EOMONTH(Resumo!$N$4,0))*(Diário!$F$4:$F$2662))+
SUMPRODUCT(('Comp.'!$G$5:$G$422='Gasto das Atividades'!B18)*('Comp.'!$B$5:$B$422&gt;=Resumo!$C$4)*('Comp.'!$B$5:$B$422&lt;=EOMONTH(Resumo!$N$4,0))*('Comp.'!$E$5:$E$422)))</f>
        <v>0</v>
      </c>
      <c r="E18" s="191" t="str">
        <f t="shared" si="0"/>
        <v>-</v>
      </c>
    </row>
    <row r="19" spans="1:5" hidden="1">
      <c r="A19" s="132">
        <v>14</v>
      </c>
      <c r="B19" s="153"/>
      <c r="C19" s="134">
        <v>0</v>
      </c>
      <c r="D19" s="190">
        <f>IF(B19="",0,
SUMPRODUCT((Diário!$H$4:$H$2662='Gasto das Atividades'!B19)*(Diário!$C$4:$C$2662&gt;=Resumo!$C$4)*(Diário!$C$4:$C$2662&lt;=EOMONTH(Resumo!$N$4,0))*(Diário!$F$4:$F$2662))+
SUMPRODUCT(('Comp.'!$G$5:$G$422='Gasto das Atividades'!B19)*('Comp.'!$B$5:$B$422&gt;=Resumo!$C$4)*('Comp.'!$B$5:$B$422&lt;=EOMONTH(Resumo!$N$4,0))*('Comp.'!$E$5:$E$422)))</f>
        <v>0</v>
      </c>
      <c r="E19" s="191" t="str">
        <f t="shared" si="0"/>
        <v>-</v>
      </c>
    </row>
    <row r="20" spans="1:5" hidden="1">
      <c r="A20" s="132">
        <v>15</v>
      </c>
      <c r="B20" s="153"/>
      <c r="C20" s="134">
        <v>0</v>
      </c>
      <c r="D20" s="190">
        <f>IF(B20="",0,
SUMPRODUCT((Diário!$H$4:$H$2662='Gasto das Atividades'!B20)*(Diário!$C$4:$C$2662&gt;=Resumo!$C$4)*(Diário!$C$4:$C$2662&lt;=EOMONTH(Resumo!$N$4,0))*(Diário!$F$4:$F$2662))+
SUMPRODUCT(('Comp.'!$G$5:$G$422='Gasto das Atividades'!B20)*('Comp.'!$B$5:$B$422&gt;=Resumo!$C$4)*('Comp.'!$B$5:$B$422&lt;=EOMONTH(Resumo!$N$4,0))*('Comp.'!$E$5:$E$422)))</f>
        <v>0</v>
      </c>
      <c r="E20" s="191" t="str">
        <f t="shared" si="0"/>
        <v>-</v>
      </c>
    </row>
    <row r="21" spans="1:5" hidden="1">
      <c r="A21" s="132">
        <v>16</v>
      </c>
      <c r="B21" s="153"/>
      <c r="C21" s="134">
        <v>0</v>
      </c>
      <c r="D21" s="190">
        <f>IF(B21="",0,
SUMPRODUCT((Diário!$H$4:$H$2662='Gasto das Atividades'!B21)*(Diário!$C$4:$C$2662&gt;=Resumo!$C$4)*(Diário!$C$4:$C$2662&lt;=EOMONTH(Resumo!$N$4,0))*(Diário!$F$4:$F$2662))+
SUMPRODUCT(('Comp.'!$G$5:$G$422='Gasto das Atividades'!B21)*('Comp.'!$B$5:$B$422&gt;=Resumo!$C$4)*('Comp.'!$B$5:$B$422&lt;=EOMONTH(Resumo!$N$4,0))*('Comp.'!$E$5:$E$422)))</f>
        <v>0</v>
      </c>
      <c r="E21" s="191" t="str">
        <f t="shared" si="0"/>
        <v>-</v>
      </c>
    </row>
    <row r="22" spans="1:5" hidden="1">
      <c r="A22" s="132">
        <v>17</v>
      </c>
      <c r="B22" s="153"/>
      <c r="C22" s="134">
        <v>0</v>
      </c>
      <c r="D22" s="190">
        <f>IF(B22="",0,
SUMPRODUCT((Diário!$H$4:$H$2662='Gasto das Atividades'!B22)*(Diário!$C$4:$C$2662&gt;=Resumo!$C$4)*(Diário!$C$4:$C$2662&lt;=EOMONTH(Resumo!$N$4,0))*(Diário!$F$4:$F$2662))+
SUMPRODUCT(('Comp.'!$G$5:$G$422='Gasto das Atividades'!B22)*('Comp.'!$B$5:$B$422&gt;=Resumo!$C$4)*('Comp.'!$B$5:$B$422&lt;=EOMONTH(Resumo!$N$4,0))*('Comp.'!$E$5:$E$422)))</f>
        <v>0</v>
      </c>
      <c r="E22" s="191" t="str">
        <f t="shared" si="0"/>
        <v>-</v>
      </c>
    </row>
    <row r="23" spans="1:5" hidden="1">
      <c r="A23" s="132">
        <v>18</v>
      </c>
      <c r="B23" s="153"/>
      <c r="C23" s="134">
        <v>0</v>
      </c>
      <c r="D23" s="190">
        <f>IF(B23="",0,
SUMPRODUCT((Diário!$H$4:$H$2662='Gasto das Atividades'!B23)*(Diário!$C$4:$C$2662&gt;=Resumo!$C$4)*(Diário!$C$4:$C$2662&lt;=EOMONTH(Resumo!$N$4,0))*(Diário!$F$4:$F$2662))+
SUMPRODUCT(('Comp.'!$G$5:$G$422='Gasto das Atividades'!B23)*('Comp.'!$B$5:$B$422&gt;=Resumo!$C$4)*('Comp.'!$B$5:$B$422&lt;=EOMONTH(Resumo!$N$4,0))*('Comp.'!$E$5:$E$422)))</f>
        <v>0</v>
      </c>
      <c r="E23" s="191" t="str">
        <f t="shared" si="0"/>
        <v>-</v>
      </c>
    </row>
    <row r="24" spans="1:5" hidden="1">
      <c r="A24" s="132">
        <v>19</v>
      </c>
      <c r="B24" s="153"/>
      <c r="C24" s="134">
        <v>0</v>
      </c>
      <c r="D24" s="190">
        <f>IF(B24="",0,
SUMPRODUCT((Diário!$H$4:$H$2662='Gasto das Atividades'!B24)*(Diário!$C$4:$C$2662&gt;=Resumo!$C$4)*(Diário!$C$4:$C$2662&lt;=EOMONTH(Resumo!$N$4,0))*(Diário!$F$4:$F$2662))+
SUMPRODUCT(('Comp.'!$G$5:$G$422='Gasto das Atividades'!B24)*('Comp.'!$B$5:$B$422&gt;=Resumo!$C$4)*('Comp.'!$B$5:$B$422&lt;=EOMONTH(Resumo!$N$4,0))*('Comp.'!$E$5:$E$422)))</f>
        <v>0</v>
      </c>
      <c r="E24" s="191" t="str">
        <f t="shared" si="0"/>
        <v>-</v>
      </c>
    </row>
    <row r="25" spans="1:5" hidden="1">
      <c r="A25" s="132">
        <v>20</v>
      </c>
      <c r="B25" s="153"/>
      <c r="C25" s="134">
        <v>0</v>
      </c>
      <c r="D25" s="190">
        <f>IF(B25="",0,
SUMPRODUCT((Diário!$H$4:$H$2662='Gasto das Atividades'!B25)*(Diário!$C$4:$C$2662&gt;=Resumo!$C$4)*(Diário!$C$4:$C$2662&lt;=EOMONTH(Resumo!$N$4,0))*(Diário!$F$4:$F$2662))+
SUMPRODUCT(('Comp.'!$G$5:$G$422='Gasto das Atividades'!B25)*('Comp.'!$B$5:$B$422&gt;=Resumo!$C$4)*('Comp.'!$B$5:$B$422&lt;=EOMONTH(Resumo!$N$4,0))*('Comp.'!$E$5:$E$422)))</f>
        <v>0</v>
      </c>
      <c r="E25" s="191" t="str">
        <f t="shared" si="0"/>
        <v>-</v>
      </c>
    </row>
    <row r="26" spans="1:5" hidden="1">
      <c r="A26" s="132">
        <v>21</v>
      </c>
      <c r="B26" s="153"/>
      <c r="C26" s="134">
        <v>0</v>
      </c>
      <c r="D26" s="190">
        <f>IF(B26="",0,
SUMPRODUCT((Diário!$H$4:$H$2662='Gasto das Atividades'!B26)*(Diário!$C$4:$C$2662&gt;=Resumo!$C$4)*(Diário!$C$4:$C$2662&lt;=EOMONTH(Resumo!$N$4,0))*(Diário!$F$4:$F$2662))+
SUMPRODUCT(('Comp.'!$G$5:$G$422='Gasto das Atividades'!B26)*('Comp.'!$B$5:$B$422&gt;=Resumo!$C$4)*('Comp.'!$B$5:$B$422&lt;=EOMONTH(Resumo!$N$4,0))*('Comp.'!$E$5:$E$422)))</f>
        <v>0</v>
      </c>
      <c r="E26" s="191" t="str">
        <f t="shared" si="0"/>
        <v>-</v>
      </c>
    </row>
    <row r="27" spans="1:5" hidden="1">
      <c r="A27" s="132">
        <v>22</v>
      </c>
      <c r="B27" s="153"/>
      <c r="C27" s="134">
        <v>0</v>
      </c>
      <c r="D27" s="190">
        <f>IF(B27="",0,
SUMPRODUCT((Diário!$H$4:$H$2662='Gasto das Atividades'!B27)*(Diário!$C$4:$C$2662&gt;=Resumo!$C$4)*(Diário!$C$4:$C$2662&lt;=EOMONTH(Resumo!$N$4,0))*(Diário!$F$4:$F$2662))+
SUMPRODUCT(('Comp.'!$G$5:$G$422='Gasto das Atividades'!B27)*('Comp.'!$B$5:$B$422&gt;=Resumo!$C$4)*('Comp.'!$B$5:$B$422&lt;=EOMONTH(Resumo!$N$4,0))*('Comp.'!$E$5:$E$422)))</f>
        <v>0</v>
      </c>
      <c r="E27" s="191" t="str">
        <f t="shared" si="0"/>
        <v>-</v>
      </c>
    </row>
    <row r="28" spans="1:5" hidden="1">
      <c r="A28" s="132">
        <v>23</v>
      </c>
      <c r="B28" s="153"/>
      <c r="C28" s="134">
        <v>0</v>
      </c>
      <c r="D28" s="190">
        <f>IF(B28="",0,
SUMPRODUCT((Diário!$H$4:$H$2662='Gasto das Atividades'!B28)*(Diário!$C$4:$C$2662&gt;=Resumo!$C$4)*(Diário!$C$4:$C$2662&lt;=EOMONTH(Resumo!$N$4,0))*(Diário!$F$4:$F$2662))+
SUMPRODUCT(('Comp.'!$G$5:$G$422='Gasto das Atividades'!B28)*('Comp.'!$B$5:$B$422&gt;=Resumo!$C$4)*('Comp.'!$B$5:$B$422&lt;=EOMONTH(Resumo!$N$4,0))*('Comp.'!$E$5:$E$422)))</f>
        <v>0</v>
      </c>
      <c r="E28" s="191" t="str">
        <f t="shared" si="0"/>
        <v>-</v>
      </c>
    </row>
    <row r="29" spans="1:5" hidden="1">
      <c r="A29" s="132">
        <v>24</v>
      </c>
      <c r="B29" s="153"/>
      <c r="C29" s="134">
        <v>0</v>
      </c>
      <c r="D29" s="190">
        <f>IF(B29="",0,
SUMPRODUCT((Diário!$H$4:$H$2662='Gasto das Atividades'!B29)*(Diário!$C$4:$C$2662&gt;=Resumo!$C$4)*(Diário!$C$4:$C$2662&lt;=EOMONTH(Resumo!$N$4,0))*(Diário!$F$4:$F$2662))+
SUMPRODUCT(('Comp.'!$G$5:$G$422='Gasto das Atividades'!B29)*('Comp.'!$B$5:$B$422&gt;=Resumo!$C$4)*('Comp.'!$B$5:$B$422&lt;=EOMONTH(Resumo!$N$4,0))*('Comp.'!$E$5:$E$422)))</f>
        <v>0</v>
      </c>
      <c r="E29" s="191" t="str">
        <f t="shared" si="0"/>
        <v>-</v>
      </c>
    </row>
    <row r="30" spans="1:5" hidden="1">
      <c r="A30" s="132">
        <v>25</v>
      </c>
      <c r="B30" s="153"/>
      <c r="C30" s="134">
        <v>0</v>
      </c>
      <c r="D30" s="190">
        <f>IF(B30="",0,
SUMPRODUCT((Diário!$H$4:$H$2662='Gasto das Atividades'!B30)*(Diário!$C$4:$C$2662&gt;=Resumo!$C$4)*(Diário!$C$4:$C$2662&lt;=EOMONTH(Resumo!$N$4,0))*(Diário!$F$4:$F$2662))+
SUMPRODUCT(('Comp.'!$G$5:$G$422='Gasto das Atividades'!B30)*('Comp.'!$B$5:$B$422&gt;=Resumo!$C$4)*('Comp.'!$B$5:$B$422&lt;=EOMONTH(Resumo!$N$4,0))*('Comp.'!$E$5:$E$422)))</f>
        <v>0</v>
      </c>
      <c r="E30" s="191" t="str">
        <f t="shared" si="0"/>
        <v>-</v>
      </c>
    </row>
    <row r="31" spans="1:5" hidden="1">
      <c r="A31" s="132">
        <v>26</v>
      </c>
      <c r="B31" s="153"/>
      <c r="C31" s="134">
        <v>0</v>
      </c>
      <c r="D31" s="190">
        <f>IF(B31="",0,
SUMPRODUCT((Diário!$H$4:$H$2662='Gasto das Atividades'!B31)*(Diário!$C$4:$C$2662&gt;=Resumo!$C$4)*(Diário!$C$4:$C$2662&lt;=EOMONTH(Resumo!$N$4,0))*(Diário!$F$4:$F$2662))+
SUMPRODUCT(('Comp.'!$G$5:$G$422='Gasto das Atividades'!B31)*('Comp.'!$B$5:$B$422&gt;=Resumo!$C$4)*('Comp.'!$B$5:$B$422&lt;=EOMONTH(Resumo!$N$4,0))*('Comp.'!$E$5:$E$422)))</f>
        <v>0</v>
      </c>
      <c r="E31" s="191" t="str">
        <f t="shared" si="0"/>
        <v>-</v>
      </c>
    </row>
    <row r="32" spans="1:5" hidden="1">
      <c r="A32" s="132">
        <v>27</v>
      </c>
      <c r="B32" s="153"/>
      <c r="C32" s="134">
        <v>0</v>
      </c>
      <c r="D32" s="190">
        <f>IF(B32="",0,
SUMPRODUCT((Diário!$H$4:$H$2662='Gasto das Atividades'!B32)*(Diário!$C$4:$C$2662&gt;=Resumo!$C$4)*(Diário!$C$4:$C$2662&lt;=EOMONTH(Resumo!$N$4,0))*(Diário!$F$4:$F$2662))+
SUMPRODUCT(('Comp.'!$G$5:$G$422='Gasto das Atividades'!B32)*('Comp.'!$B$5:$B$422&gt;=Resumo!$C$4)*('Comp.'!$B$5:$B$422&lt;=EOMONTH(Resumo!$N$4,0))*('Comp.'!$E$5:$E$422)))</f>
        <v>0</v>
      </c>
      <c r="E32" s="191" t="str">
        <f t="shared" si="0"/>
        <v>-</v>
      </c>
    </row>
    <row r="33" spans="1:5" hidden="1">
      <c r="A33" s="132">
        <v>28</v>
      </c>
      <c r="B33" s="153"/>
      <c r="C33" s="134">
        <v>0</v>
      </c>
      <c r="D33" s="190">
        <f>IF(B33="",0,
SUMPRODUCT((Diário!$H$4:$H$2662='Gasto das Atividades'!B33)*(Diário!$C$4:$C$2662&gt;=Resumo!$C$4)*(Diário!$C$4:$C$2662&lt;=EOMONTH(Resumo!$N$4,0))*(Diário!$F$4:$F$2662))+
SUMPRODUCT(('Comp.'!$G$5:$G$422='Gasto das Atividades'!B33)*('Comp.'!$B$5:$B$422&gt;=Resumo!$C$4)*('Comp.'!$B$5:$B$422&lt;=EOMONTH(Resumo!$N$4,0))*('Comp.'!$E$5:$E$422)))</f>
        <v>0</v>
      </c>
      <c r="E33" s="191" t="str">
        <f t="shared" si="0"/>
        <v>-</v>
      </c>
    </row>
    <row r="34" spans="1:5" hidden="1">
      <c r="A34" s="132">
        <v>29</v>
      </c>
      <c r="B34" s="153"/>
      <c r="C34" s="134">
        <v>0</v>
      </c>
      <c r="D34" s="190">
        <f>IF(B34="",0,
SUMPRODUCT((Diário!$H$4:$H$2662='Gasto das Atividades'!B34)*(Diário!$C$4:$C$2662&gt;=Resumo!$C$4)*(Diário!$C$4:$C$2662&lt;=EOMONTH(Resumo!$N$4,0))*(Diário!$F$4:$F$2662))+
SUMPRODUCT(('Comp.'!$G$5:$G$422='Gasto das Atividades'!B34)*('Comp.'!$B$5:$B$422&gt;=Resumo!$C$4)*('Comp.'!$B$5:$B$422&lt;=EOMONTH(Resumo!$N$4,0))*('Comp.'!$E$5:$E$422)))</f>
        <v>0</v>
      </c>
      <c r="E34" s="191" t="str">
        <f t="shared" si="0"/>
        <v>-</v>
      </c>
    </row>
    <row r="35" spans="1:5" ht="13.5" hidden="1" thickBot="1">
      <c r="A35" s="133">
        <v>30</v>
      </c>
      <c r="B35" s="153"/>
      <c r="C35" s="135">
        <v>0</v>
      </c>
      <c r="D35" s="190">
        <f>IF(B35="",0,
SUMPRODUCT((Diário!$H$4:$H$2662='Gasto das Atividades'!B35)*(Diário!$C$4:$C$2662&gt;=Resumo!$C$4)*(Diário!$C$4:$C$2662&lt;=EOMONTH(Resumo!$N$4,0))*(Diário!$F$4:$F$2662))+
SUMPRODUCT(('Comp.'!$G$5:$G$422='Gasto das Atividades'!B35)*('Comp.'!$B$5:$B$422&gt;=Resumo!$C$4)*('Comp.'!$B$5:$B$422&lt;=EOMONTH(Resumo!$N$4,0))*('Comp.'!$E$5:$E$422)))</f>
        <v>0</v>
      </c>
      <c r="E35" s="192" t="str">
        <f t="shared" si="0"/>
        <v>-</v>
      </c>
    </row>
    <row r="36" spans="1:5" ht="24" customHeight="1" thickBot="1">
      <c r="A36" s="277"/>
      <c r="B36" s="278" t="s">
        <v>250</v>
      </c>
      <c r="C36" s="279">
        <f>SUM(C6:C35)</f>
        <v>23205101.039999999</v>
      </c>
      <c r="D36" s="280">
        <f>SUM(D6:D35)</f>
        <v>18541612.690100003</v>
      </c>
      <c r="E36" s="347">
        <f t="shared" si="0"/>
        <v>0.79903175849735508</v>
      </c>
    </row>
    <row r="37" spans="1:5">
      <c r="A37" s="136"/>
      <c r="B37" s="136"/>
      <c r="C37" s="113"/>
      <c r="D37" s="113"/>
      <c r="E37" s="113"/>
    </row>
    <row r="38" spans="1:5" ht="13.5" customHeight="1" thickBot="1">
      <c r="A38" s="113"/>
      <c r="B38" s="546" t="s">
        <v>375</v>
      </c>
      <c r="C38" s="546"/>
      <c r="D38" s="113"/>
      <c r="E38" s="113"/>
    </row>
    <row r="39" spans="1:5">
      <c r="A39" s="113"/>
      <c r="B39" s="128" t="s">
        <v>281</v>
      </c>
      <c r="C39" s="137" t="s">
        <v>282</v>
      </c>
      <c r="D39" s="137" t="s">
        <v>149</v>
      </c>
      <c r="E39" s="113"/>
    </row>
    <row r="40" spans="1:5">
      <c r="A40" s="113"/>
      <c r="B40" s="138" t="s">
        <v>278</v>
      </c>
      <c r="C40" s="129">
        <v>0.24</v>
      </c>
      <c r="D40" s="139">
        <f>Comparativo!$O$46*C40</f>
        <v>3118394.9592000004</v>
      </c>
      <c r="E40" s="113"/>
    </row>
    <row r="41" spans="1:5" ht="13.5" customHeight="1" thickBot="1">
      <c r="A41" s="113"/>
      <c r="B41" s="140" t="s">
        <v>277</v>
      </c>
      <c r="C41" s="130">
        <v>0.76</v>
      </c>
      <c r="D41" s="141">
        <f>Comparativo!$O$46*C41</f>
        <v>9874917.3708000015</v>
      </c>
      <c r="E41" s="113"/>
    </row>
    <row r="42" spans="1:5" ht="12.75" customHeight="1">
      <c r="A42" s="113"/>
      <c r="B42" s="113"/>
      <c r="C42" s="113"/>
      <c r="D42" s="113"/>
      <c r="E42" s="113"/>
    </row>
    <row r="43" spans="1:5" ht="15.75" thickBot="1">
      <c r="A43" s="113"/>
      <c r="B43" s="546" t="s">
        <v>374</v>
      </c>
      <c r="C43" s="546"/>
      <c r="D43" s="113"/>
      <c r="E43" s="113"/>
    </row>
    <row r="44" spans="1:5">
      <c r="A44" s="113"/>
      <c r="B44" s="128" t="s">
        <v>281</v>
      </c>
      <c r="C44" s="137" t="s">
        <v>149</v>
      </c>
      <c r="D44" s="113"/>
      <c r="E44" s="113"/>
    </row>
    <row r="45" spans="1:5">
      <c r="A45" s="113"/>
      <c r="B45" s="138" t="s">
        <v>278</v>
      </c>
      <c r="C45" s="139">
        <f>D6+D40</f>
        <v>4115984.4791999995</v>
      </c>
      <c r="D45" s="113"/>
      <c r="E45" s="113"/>
    </row>
    <row r="46" spans="1:5" ht="13.5" thickBot="1">
      <c r="A46" s="113"/>
      <c r="B46" s="140" t="s">
        <v>277</v>
      </c>
      <c r="C46" s="141">
        <f>D36-D6+D41</f>
        <v>27418940.540900007</v>
      </c>
      <c r="D46" s="113"/>
      <c r="E46" s="113"/>
    </row>
  </sheetData>
  <sheetProtection algorithmName="SHA-512" hashValue="88dapQQwNcg4UnM8yF6rBxH+RrwEl+E2PiZfQYstXeolUtffrTm0PBVTS+3l425PZcEKAxvM0JpiuoVUdQJIhw==" saltValue="eNWgDN4nVSugPAO+X4pYmQ==" spinCount="100000" sheet="1" objects="1" scenarios="1" formatRows="0"/>
  <mergeCells count="5">
    <mergeCell ref="B38:C38"/>
    <mergeCell ref="B43:C43"/>
    <mergeCell ref="A1:E1"/>
    <mergeCell ref="A2:E2"/>
    <mergeCell ref="A3:E3"/>
  </mergeCells>
  <printOptions horizontalCentered="1"/>
  <pageMargins left="0.19685039370078741" right="0.19685039370078741" top="0.59055118110236227" bottom="0.59055118110236227" header="0" footer="0"/>
  <pageSetup paperSize="9" orientation="landscape" r:id="rId1"/>
  <headerFooter>
    <oddFooter>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pageSetUpPr fitToPage="1"/>
  </sheetPr>
  <dimension ref="A1:S192"/>
  <sheetViews>
    <sheetView showGridLines="0" workbookViewId="0">
      <pane xSplit="2" ySplit="4" topLeftCell="C131" activePane="bottomRight" state="frozen"/>
      <selection activeCell="K2409" sqref="K2409"/>
      <selection pane="topRight" activeCell="K2409" sqref="K2409"/>
      <selection pane="bottomLeft" activeCell="K2409" sqref="K2409"/>
      <selection pane="bottomRight" activeCell="B140" sqref="B140"/>
    </sheetView>
  </sheetViews>
  <sheetFormatPr defaultColWidth="9.140625" defaultRowHeight="12.75"/>
  <cols>
    <col min="1" max="1" width="7.42578125" style="15" customWidth="1"/>
    <col min="2" max="2" width="25" style="15" bestFit="1" customWidth="1"/>
    <col min="3" max="5" width="12.42578125" style="15" bestFit="1" customWidth="1"/>
    <col min="6" max="8" width="12.42578125" style="15" customWidth="1"/>
    <col min="9" max="14" width="12.42578125" style="15" hidden="1" customWidth="1"/>
    <col min="15" max="16" width="12" style="15" bestFit="1" customWidth="1"/>
    <col min="17" max="18" width="9.140625" style="15"/>
    <col min="19" max="19" width="10.140625" style="15" bestFit="1" customWidth="1"/>
    <col min="20" max="16384" width="9.140625" style="15"/>
  </cols>
  <sheetData>
    <row r="1" spans="1:19" ht="27.75" customHeight="1">
      <c r="A1" s="536" t="str">
        <f>Capa!A70</f>
        <v xml:space="preserve">Contrato de Gestão nº06/2020 - Secretaria Estadual de Cultura e Instituto Cultural Filarmonica </v>
      </c>
      <c r="B1" s="536"/>
      <c r="C1" s="536"/>
      <c r="D1" s="536"/>
      <c r="E1" s="536"/>
      <c r="F1" s="536"/>
      <c r="G1" s="536"/>
      <c r="H1" s="536"/>
      <c r="I1" s="536"/>
      <c r="J1" s="536"/>
      <c r="K1" s="536"/>
      <c r="L1" s="536"/>
      <c r="M1" s="536"/>
      <c r="N1" s="536"/>
      <c r="O1" s="536"/>
      <c r="P1" s="536"/>
    </row>
    <row r="2" spans="1:19" ht="19.5" customHeight="1">
      <c r="A2" s="536" t="str">
        <f>Capa!A5</f>
        <v>24º Relatório Gerencial Financeiro</v>
      </c>
      <c r="B2" s="536"/>
      <c r="C2" s="536"/>
      <c r="D2" s="536"/>
      <c r="E2" s="536"/>
      <c r="F2" s="536"/>
      <c r="G2" s="536"/>
      <c r="H2" s="536"/>
      <c r="I2" s="536"/>
      <c r="J2" s="536"/>
      <c r="K2" s="536"/>
      <c r="L2" s="536"/>
      <c r="M2" s="536"/>
      <c r="N2" s="536"/>
      <c r="O2" s="536"/>
      <c r="P2" s="536"/>
    </row>
    <row r="3" spans="1:19" ht="19.5" customHeight="1" thickBot="1">
      <c r="A3" s="548" t="s">
        <v>283</v>
      </c>
      <c r="B3" s="548"/>
      <c r="C3" s="548"/>
      <c r="D3" s="548"/>
      <c r="E3" s="548"/>
      <c r="F3" s="548"/>
      <c r="G3" s="548"/>
      <c r="H3" s="548"/>
      <c r="I3" s="548"/>
      <c r="J3" s="548"/>
      <c r="K3" s="548"/>
      <c r="L3" s="548"/>
      <c r="M3" s="548"/>
      <c r="N3" s="548"/>
      <c r="O3" s="548"/>
      <c r="P3" s="548"/>
    </row>
    <row r="4" spans="1:19" ht="30" customHeight="1" thickBot="1">
      <c r="A4" s="308"/>
      <c r="B4" s="308"/>
      <c r="C4" s="309">
        <f>Resumo!C4</f>
        <v>46023</v>
      </c>
      <c r="D4" s="309">
        <f>Resumo!D4</f>
        <v>46054</v>
      </c>
      <c r="E4" s="309">
        <f>Resumo!E4</f>
        <v>46082</v>
      </c>
      <c r="F4" s="309">
        <f>Resumo!F4</f>
        <v>46113</v>
      </c>
      <c r="G4" s="309">
        <f>Resumo!G4</f>
        <v>46143</v>
      </c>
      <c r="H4" s="309">
        <f>Resumo!H4</f>
        <v>46174</v>
      </c>
      <c r="I4" s="309">
        <f>Resumo!I4</f>
        <v>46204</v>
      </c>
      <c r="J4" s="309">
        <f>Resumo!J4</f>
        <v>46235</v>
      </c>
      <c r="K4" s="309">
        <f>Resumo!K4</f>
        <v>46266</v>
      </c>
      <c r="L4" s="309">
        <f>Resumo!L4</f>
        <v>46296</v>
      </c>
      <c r="M4" s="309">
        <f>Resumo!M4</f>
        <v>46327</v>
      </c>
      <c r="N4" s="309">
        <f>Resumo!N4</f>
        <v>46357</v>
      </c>
      <c r="O4" s="310" t="s">
        <v>250</v>
      </c>
      <c r="P4" s="311" t="s">
        <v>357</v>
      </c>
    </row>
    <row r="5" spans="1:19" ht="23.25" customHeight="1" thickBot="1">
      <c r="A5" s="268" t="s">
        <v>42</v>
      </c>
      <c r="B5" s="269" t="s">
        <v>264</v>
      </c>
      <c r="C5" s="270">
        <f>Resumo!C5</f>
        <v>15431661.859999994</v>
      </c>
      <c r="D5" s="270">
        <f t="shared" ref="D5:N5" si="0">C5+C15-C191</f>
        <v>17031256.18999999</v>
      </c>
      <c r="E5" s="270">
        <f t="shared" si="0"/>
        <v>13743383.70999999</v>
      </c>
      <c r="F5" s="270">
        <f t="shared" si="0"/>
        <v>14711430.669999991</v>
      </c>
      <c r="G5" s="270">
        <f t="shared" si="0"/>
        <v>15264613.629999992</v>
      </c>
      <c r="H5" s="270">
        <f t="shared" si="0"/>
        <v>14575862.76999999</v>
      </c>
      <c r="I5" s="270">
        <f t="shared" si="0"/>
        <v>16777919.859899994</v>
      </c>
      <c r="J5" s="270">
        <f t="shared" si="0"/>
        <v>16777919.859899994</v>
      </c>
      <c r="K5" s="270">
        <f t="shared" si="0"/>
        <v>16777919.859899994</v>
      </c>
      <c r="L5" s="270">
        <f t="shared" si="0"/>
        <v>16777919.859899994</v>
      </c>
      <c r="M5" s="270">
        <f t="shared" si="0"/>
        <v>16777919.859899994</v>
      </c>
      <c r="N5" s="270">
        <f t="shared" si="0"/>
        <v>16777919.859899994</v>
      </c>
      <c r="O5" s="200"/>
      <c r="P5" s="271"/>
    </row>
    <row r="6" spans="1:19" ht="23.25" customHeight="1" thickBot="1">
      <c r="A6" s="10"/>
      <c r="B6" s="10"/>
      <c r="C6" s="101"/>
      <c r="D6" s="101"/>
      <c r="E6" s="101"/>
      <c r="F6" s="101"/>
      <c r="G6" s="101"/>
      <c r="H6" s="101"/>
      <c r="I6" s="101"/>
      <c r="J6" s="101"/>
      <c r="K6" s="101"/>
      <c r="L6" s="101"/>
      <c r="M6" s="101"/>
      <c r="N6" s="101"/>
      <c r="O6" s="100"/>
    </row>
    <row r="7" spans="1:19" ht="23.25" customHeight="1" thickBot="1">
      <c r="A7" s="195">
        <v>1</v>
      </c>
      <c r="B7" s="195" t="s">
        <v>143</v>
      </c>
      <c r="C7" s="196"/>
      <c r="D7" s="196"/>
      <c r="E7" s="196"/>
      <c r="F7" s="196"/>
      <c r="G7" s="196"/>
      <c r="H7" s="196"/>
      <c r="I7" s="196"/>
      <c r="J7" s="196"/>
      <c r="K7" s="196"/>
      <c r="L7" s="196"/>
      <c r="M7" s="196"/>
      <c r="N7" s="196"/>
      <c r="O7" s="196"/>
      <c r="P7" s="197"/>
    </row>
    <row r="8" spans="1:19" ht="23.25" customHeight="1" thickBot="1">
      <c r="A8" s="237" t="s">
        <v>15</v>
      </c>
      <c r="B8" s="193" t="s">
        <v>338</v>
      </c>
      <c r="C8" s="238">
        <f>SUMPRODUCT((Diário!$E$4:$E$2662='Analítico Cx.'!$B8)*(Diário!$B$4:$B$2662&gt;=C$4)*(Diário!$B$4:$B$2662&lt;=EOMONTH(C$4,0))*(Diário!$F$4:$F$2662))</f>
        <v>0</v>
      </c>
      <c r="D8" s="238">
        <f>SUMPRODUCT((Diário!$E$4:$E$2662='Analítico Cx.'!$B8)*(Diário!$B$4:$B$2662&gt;=D$4)*(Diário!$B$4:$B$2662&lt;=EOMONTH(D$4,0))*(Diário!$F$4:$F$2662))</f>
        <v>1842751</v>
      </c>
      <c r="E8" s="238">
        <f>SUMPRODUCT((Diário!$E$4:$E$2662='Analítico Cx.'!$B8)*(Diário!$B$4:$B$2662&gt;=E$4)*(Diário!$B$4:$B$2662&lt;=EOMONTH(E$4,0))*(Diário!$F$4:$F$2662))</f>
        <v>1842751</v>
      </c>
      <c r="F8" s="238">
        <f>SUMPRODUCT((Diário!$E$4:$E$2662='Analítico Cx.'!$B8)*(Diário!$B$4:$B$2662&gt;=F$4)*(Diário!$B$4:$B$2662&lt;=EOMONTH(F$4,0))*(Diário!$F$4:$F$2662))</f>
        <v>1842751</v>
      </c>
      <c r="G8" s="238">
        <f>SUMPRODUCT((Diário!$E$4:$E$2662='Analítico Cx.'!$B8)*(Diário!$B$4:$B$2662&gt;=G$4)*(Diário!$B$4:$B$2662&lt;=EOMONTH(G$4,0))*(Diário!$F$4:$F$2662))</f>
        <v>1842751</v>
      </c>
      <c r="H8" s="238">
        <f>SUMPRODUCT((Diário!$E$4:$E$2662='Analítico Cx.'!$B8)*(Diário!$B$4:$B$2662&gt;=H$4)*(Diário!$B$4:$B$2662&lt;=EOMONTH(H$4,0))*(Diário!$F$4:$F$2662))</f>
        <v>1842751</v>
      </c>
      <c r="I8" s="238">
        <f>SUMPRODUCT((Diário!$E$4:$E$2662='Analítico Cx.'!$B8)*(Diário!$B$4:$B$2662&gt;=I$4)*(Diário!$B$4:$B$2662&lt;=EOMONTH(I$4,0))*(Diário!$F$4:$F$2662))</f>
        <v>0</v>
      </c>
      <c r="J8" s="238">
        <f>SUMPRODUCT((Diário!$E$4:$E$2662='Analítico Cx.'!$B8)*(Diário!$B$4:$B$2662&gt;=J$4)*(Diário!$B$4:$B$2662&lt;=EOMONTH(J$4,0))*(Diário!$F$4:$F$2662))</f>
        <v>0</v>
      </c>
      <c r="K8" s="238">
        <f>SUMPRODUCT((Diário!$E$4:$E$2662='Analítico Cx.'!$B8)*(Diário!$B$4:$B$2662&gt;=K$4)*(Diário!$B$4:$B$2662&lt;=EOMONTH(K$4,0))*(Diário!$F$4:$F$2662))</f>
        <v>0</v>
      </c>
      <c r="L8" s="238">
        <f>SUMPRODUCT((Diário!$E$4:$E$2662='Analítico Cx.'!$B8)*(Diário!$B$4:$B$2662&gt;=L$4)*(Diário!$B$4:$B$2662&lt;=EOMONTH(L$4,0))*(Diário!$F$4:$F$2662))</f>
        <v>0</v>
      </c>
      <c r="M8" s="238">
        <f>SUMPRODUCT((Diário!$E$4:$E$2662='Analítico Cx.'!$B8)*(Diário!$B$4:$B$2662&gt;=M$4)*(Diário!$B$4:$B$2662&lt;=EOMONTH(M$4,0))*(Diário!$F$4:$F$2662))</f>
        <v>0</v>
      </c>
      <c r="N8" s="238">
        <f>SUMPRODUCT((Diário!$E$4:$E$2662='Analítico Cx.'!$B8)*(Diário!$B$4:$B$2662&gt;=N$4)*(Diário!$B$4:$B$2662&lt;=EOMONTH(N$4,0))*(Diário!$F$4:$F$2662))</f>
        <v>0</v>
      </c>
      <c r="O8" s="235">
        <f>SUM(C8:N8)</f>
        <v>9213755</v>
      </c>
      <c r="P8" s="239">
        <f>IF($O$15=0,0,O8/$O$15)</f>
        <v>0.44484314664145042</v>
      </c>
    </row>
    <row r="9" spans="1:19" ht="23.25" customHeight="1" thickBot="1">
      <c r="A9" s="211" t="s">
        <v>286</v>
      </c>
      <c r="B9" s="212" t="s">
        <v>339</v>
      </c>
      <c r="C9" s="236">
        <f>SUMPRODUCT((Diário!$E$4:$E$2662='Analítico Cx.'!$B9)*(Diário!$B$4:$B$2662&gt;=C$4)*(Diário!$B$4:$B$2662&lt;=EOMONTH(C$4,0))*(Diário!$F$4:$F$2662))</f>
        <v>16273.810000000001</v>
      </c>
      <c r="D9" s="236">
        <f>SUMPRODUCT((Diário!$E$4:$E$2662='Analítico Cx.'!$B9)*(Diário!$B$4:$B$2662&gt;=D$4)*(Diário!$B$4:$B$2662&lt;=EOMONTH(D$4,0))*(Diário!$F$4:$F$2662))</f>
        <v>11536.789999999999</v>
      </c>
      <c r="E9" s="236">
        <f>SUMPRODUCT((Diário!$E$4:$E$2662='Analítico Cx.'!$B9)*(Diário!$B$4:$B$2662&gt;=E$4)*(Diário!$B$4:$B$2662&lt;=EOMONTH(E$4,0))*(Diário!$F$4:$F$2662))</f>
        <v>13484.310000000001</v>
      </c>
      <c r="F9" s="236">
        <f>SUMPRODUCT((Diário!$E$4:$E$2662='Analítico Cx.'!$B9)*(Diário!$B$4:$B$2662&gt;=F$4)*(Diário!$B$4:$B$2662&lt;=EOMONTH(F$4,0))*(Diário!$F$4:$F$2662))</f>
        <v>9819.92</v>
      </c>
      <c r="G9" s="236">
        <f>SUMPRODUCT((Diário!$E$4:$E$2662='Analítico Cx.'!$B9)*(Diário!$B$4:$B$2662&gt;=G$4)*(Diário!$B$4:$B$2662&lt;=EOMONTH(G$4,0))*(Diário!$F$4:$F$2662))</f>
        <v>11751.59</v>
      </c>
      <c r="H9" s="236">
        <f>SUMPRODUCT((Diário!$E$4:$E$2662='Analítico Cx.'!$B9)*(Diário!$B$4:$B$2662&gt;=H$4)*(Diário!$B$4:$B$2662&lt;=EOMONTH(H$4,0))*(Diário!$F$4:$F$2662))</f>
        <v>14201.310000000001</v>
      </c>
      <c r="I9" s="236">
        <f>SUMPRODUCT((Diário!$E$4:$E$2662='Analítico Cx.'!$B9)*(Diário!$B$4:$B$2662&gt;=I$4)*(Diário!$B$4:$B$2662&lt;=EOMONTH(I$4,0))*(Diário!$F$4:$F$2662))</f>
        <v>0</v>
      </c>
      <c r="J9" s="236">
        <f>SUMPRODUCT((Diário!$E$4:$E$2662='Analítico Cx.'!$B9)*(Diário!$B$4:$B$2662&gt;=J$4)*(Diário!$B$4:$B$2662&lt;=EOMONTH(J$4,0))*(Diário!$F$4:$F$2662))</f>
        <v>0</v>
      </c>
      <c r="K9" s="236">
        <f>SUMPRODUCT((Diário!$E$4:$E$2662='Analítico Cx.'!$B9)*(Diário!$B$4:$B$2662&gt;=K$4)*(Diário!$B$4:$B$2662&lt;=EOMONTH(K$4,0))*(Diário!$F$4:$F$2662))</f>
        <v>0</v>
      </c>
      <c r="L9" s="236">
        <f>SUMPRODUCT((Diário!$E$4:$E$2662='Analítico Cx.'!$B9)*(Diário!$B$4:$B$2662&gt;=L$4)*(Diário!$B$4:$B$2662&lt;=EOMONTH(L$4,0))*(Diário!$F$4:$F$2662))</f>
        <v>0</v>
      </c>
      <c r="M9" s="236">
        <f>SUMPRODUCT((Diário!$E$4:$E$2662='Analítico Cx.'!$B9)*(Diário!$B$4:$B$2662&gt;=M$4)*(Diário!$B$4:$B$2662&lt;=EOMONTH(M$4,0))*(Diário!$F$4:$F$2662))</f>
        <v>0</v>
      </c>
      <c r="N9" s="236">
        <f>SUMPRODUCT((Diário!$E$4:$E$2662='Analítico Cx.'!$B9)*(Diário!$B$4:$B$2662&gt;=N$4)*(Diário!$B$4:$B$2662&lt;=EOMONTH(N$4,0))*(Diário!$F$4:$F$2662))</f>
        <v>0</v>
      </c>
      <c r="O9" s="225">
        <f>SUM(C9:N9)</f>
        <v>77067.73</v>
      </c>
      <c r="P9" s="234">
        <f>IF($O$15=0,0,O9/$O$15)</f>
        <v>3.7208555597271365E-3</v>
      </c>
    </row>
    <row r="10" spans="1:19" ht="23.25" customHeight="1">
      <c r="A10" s="206" t="s">
        <v>332</v>
      </c>
      <c r="B10" s="206" t="s">
        <v>353</v>
      </c>
      <c r="C10" s="209"/>
      <c r="D10" s="209"/>
      <c r="E10" s="209"/>
      <c r="F10" s="209"/>
      <c r="G10" s="209"/>
      <c r="H10" s="209"/>
      <c r="I10" s="209"/>
      <c r="J10" s="209"/>
      <c r="K10" s="209"/>
      <c r="L10" s="209"/>
      <c r="M10" s="209"/>
      <c r="N10" s="209"/>
      <c r="O10" s="209"/>
      <c r="P10" s="210"/>
    </row>
    <row r="11" spans="1:19" ht="23.25" customHeight="1">
      <c r="A11" s="202" t="s">
        <v>333</v>
      </c>
      <c r="B11" s="39" t="s">
        <v>334</v>
      </c>
      <c r="C11" s="102">
        <f>SUMPRODUCT((Diário!$E$4:$E$2662='Analítico Cx.'!$B11)*(Diário!$B$4:$B$2662&gt;=C$4)*(Diário!$B$4:$B$2662&lt;=EOMONTH(C$4,0))*(Diário!$F$4:$F$2662))</f>
        <v>3617339.81</v>
      </c>
      <c r="D11" s="102">
        <f>SUMPRODUCT((Diário!$E$4:$E$2662='Analítico Cx.'!$B11)*(Diário!$B$4:$B$2662&gt;=D$4)*(Diário!$B$4:$B$2662&lt;=EOMONTH(D$4,0))*(Diário!$F$4:$F$2662))</f>
        <v>-3225562.6399999997</v>
      </c>
      <c r="E11" s="102">
        <f>SUMPRODUCT((Diário!$E$4:$E$2662='Analítico Cx.'!$B11)*(Diário!$B$4:$B$2662&gt;=E$4)*(Diário!$B$4:$B$2662&lt;=EOMONTH(E$4,0))*(Diário!$F$4:$F$2662))</f>
        <v>1738534.9000000001</v>
      </c>
      <c r="F11" s="102">
        <f>SUMPRODUCT((Diário!$E$4:$E$2662='Analítico Cx.'!$B11)*(Diário!$B$4:$B$2662&gt;=F$4)*(Diário!$B$4:$B$2662&lt;=EOMONTH(F$4,0))*(Diário!$F$4:$F$2662))</f>
        <v>1504975.9</v>
      </c>
      <c r="G11" s="102">
        <f>SUMPRODUCT((Diário!$E$4:$E$2662='Analítico Cx.'!$B11)*(Diário!$B$4:$B$2662&gt;=G$4)*(Diário!$B$4:$B$2662&lt;=EOMONTH(G$4,0))*(Diário!$F$4:$F$2662))</f>
        <v>186322.69</v>
      </c>
      <c r="H11" s="102">
        <f>SUMPRODUCT((Diário!$E$4:$E$2662='Analítico Cx.'!$B11)*(Diário!$B$4:$B$2662&gt;=H$4)*(Diário!$B$4:$B$2662&lt;=EOMONTH(H$4,0))*(Diário!$F$4:$F$2662))</f>
        <v>4100664.11</v>
      </c>
      <c r="I11" s="102">
        <f>SUMPRODUCT((Diário!$E$4:$E$2662='Analítico Cx.'!$B11)*(Diário!$B$4:$B$2662&gt;=I$4)*(Diário!$B$4:$B$2662&lt;=EOMONTH(I$4,0))*(Diário!$F$4:$F$2662))</f>
        <v>0</v>
      </c>
      <c r="J11" s="102">
        <f>SUMPRODUCT((Diário!$E$4:$E$2662='Analítico Cx.'!$B11)*(Diário!$B$4:$B$2662&gt;=J$4)*(Diário!$B$4:$B$2662&lt;=EOMONTH(J$4,0))*(Diário!$F$4:$F$2662))</f>
        <v>0</v>
      </c>
      <c r="K11" s="102">
        <f>SUMPRODUCT((Diário!$E$4:$E$2662='Analítico Cx.'!$B11)*(Diário!$B$4:$B$2662&gt;=K$4)*(Diário!$B$4:$B$2662&lt;=EOMONTH(K$4,0))*(Diário!$F$4:$F$2662))</f>
        <v>0</v>
      </c>
      <c r="L11" s="102">
        <f>SUMPRODUCT((Diário!$E$4:$E$2662='Analítico Cx.'!$B11)*(Diário!$B$4:$B$2662&gt;=L$4)*(Diário!$B$4:$B$2662&lt;=EOMONTH(L$4,0))*(Diário!$F$4:$F$2662))</f>
        <v>0</v>
      </c>
      <c r="M11" s="102">
        <f>SUMPRODUCT((Diário!$E$4:$E$2662='Analítico Cx.'!$B11)*(Diário!$B$4:$B$2662&gt;=M$4)*(Diário!$B$4:$B$2662&lt;=EOMONTH(M$4,0))*(Diário!$F$4:$F$2662))</f>
        <v>0</v>
      </c>
      <c r="N11" s="102">
        <f>SUMPRODUCT((Diário!$E$4:$E$2662='Analítico Cx.'!$B11)*(Diário!$B$4:$B$2662&gt;=N$4)*(Diário!$B$4:$B$2662&lt;=EOMONTH(N$4,0))*(Diário!$F$4:$F$2662))</f>
        <v>0</v>
      </c>
      <c r="O11" s="103">
        <f>SUM(C11:N11)</f>
        <v>7922274.7699999996</v>
      </c>
      <c r="P11" s="95">
        <f>IF($O$15=0,0,O11/$O$15)</f>
        <v>0.38249005288777188</v>
      </c>
    </row>
    <row r="12" spans="1:19" ht="23.25" customHeight="1">
      <c r="A12" s="202" t="s">
        <v>335</v>
      </c>
      <c r="B12" s="39" t="s">
        <v>336</v>
      </c>
      <c r="C12" s="102">
        <f>SUMPRODUCT((Diário!$E$4:$E$2662='Analítico Cx.'!$B12)*(Diário!$B$4:$B$2662&gt;=C$4)*(Diário!$B$4:$B$2662&lt;=EOMONTH(C$4,0))*(Diário!$F$4:$F$2662))</f>
        <v>158950.63</v>
      </c>
      <c r="D12" s="102">
        <f>SUMPRODUCT((Diário!$E$4:$E$2662='Analítico Cx.'!$B12)*(Diário!$B$4:$B$2662&gt;=D$4)*(Diário!$B$4:$B$2662&lt;=EOMONTH(D$4,0))*(Diário!$F$4:$F$2662))</f>
        <v>119126.62000000001</v>
      </c>
      <c r="E12" s="102">
        <f>SUMPRODUCT((Diário!$E$4:$E$2662='Analítico Cx.'!$B12)*(Diário!$B$4:$B$2662&gt;=E$4)*(Diário!$B$4:$B$2662&lt;=EOMONTH(E$4,0))*(Diário!$F$4:$F$2662))</f>
        <v>124131.91000000002</v>
      </c>
      <c r="F12" s="102">
        <f>SUMPRODUCT((Diário!$E$4:$E$2662='Analítico Cx.'!$B12)*(Diário!$B$4:$B$2662&gt;=F$4)*(Diário!$B$4:$B$2662&lt;=EOMONTH(F$4,0))*(Diário!$F$4:$F$2662))</f>
        <v>108559.13</v>
      </c>
      <c r="G12" s="102">
        <f>SUMPRODUCT((Diário!$E$4:$E$2662='Analítico Cx.'!$B12)*(Diário!$B$4:$B$2662&gt;=G$4)*(Diário!$B$4:$B$2662&lt;=EOMONTH(G$4,0))*(Diário!$F$4:$F$2662))</f>
        <v>69778.25</v>
      </c>
      <c r="H12" s="102">
        <f>SUMPRODUCT((Diário!$E$4:$E$2662='Analítico Cx.'!$B12)*(Diário!$B$4:$B$2662&gt;=H$4)*(Diário!$B$4:$B$2662&lt;=EOMONTH(H$4,0))*(Diário!$F$4:$F$2662))</f>
        <v>109096.33</v>
      </c>
      <c r="I12" s="102">
        <f>SUMPRODUCT((Diário!$E$4:$E$2662='Analítico Cx.'!$B12)*(Diário!$B$4:$B$2662&gt;=I$4)*(Diário!$B$4:$B$2662&lt;=EOMONTH(I$4,0))*(Diário!$F$4:$F$2662))</f>
        <v>0</v>
      </c>
      <c r="J12" s="102">
        <f>SUMPRODUCT((Diário!$E$4:$E$2662='Analítico Cx.'!$B12)*(Diário!$B$4:$B$2662&gt;=J$4)*(Diário!$B$4:$B$2662&lt;=EOMONTH(J$4,0))*(Diário!$F$4:$F$2662))</f>
        <v>0</v>
      </c>
      <c r="K12" s="102">
        <f>SUMPRODUCT((Diário!$E$4:$E$2662='Analítico Cx.'!$B12)*(Diário!$B$4:$B$2662&gt;=K$4)*(Diário!$B$4:$B$2662&lt;=EOMONTH(K$4,0))*(Diário!$F$4:$F$2662))</f>
        <v>0</v>
      </c>
      <c r="L12" s="102">
        <f>SUMPRODUCT((Diário!$E$4:$E$2662='Analítico Cx.'!$B12)*(Diário!$B$4:$B$2662&gt;=L$4)*(Diário!$B$4:$B$2662&lt;=EOMONTH(L$4,0))*(Diário!$F$4:$F$2662))</f>
        <v>0</v>
      </c>
      <c r="M12" s="102">
        <f>SUMPRODUCT((Diário!$E$4:$E$2662='Analítico Cx.'!$B12)*(Diário!$B$4:$B$2662&gt;=M$4)*(Diário!$B$4:$B$2662&lt;=EOMONTH(M$4,0))*(Diário!$F$4:$F$2662))</f>
        <v>0</v>
      </c>
      <c r="N12" s="102">
        <f>SUMPRODUCT((Diário!$E$4:$E$2662='Analítico Cx.'!$B12)*(Diário!$B$4:$B$2662&gt;=N$4)*(Diário!$B$4:$B$2662&lt;=EOMONTH(N$4,0))*(Diário!$F$4:$F$2662))</f>
        <v>0</v>
      </c>
      <c r="O12" s="103">
        <f>SUM(C12:N12)</f>
        <v>689642.87</v>
      </c>
      <c r="P12" s="95">
        <f>IF($O$15=0,0,O12/$O$15)</f>
        <v>3.3296186446203607E-2</v>
      </c>
    </row>
    <row r="13" spans="1:19" ht="23.25" customHeight="1">
      <c r="A13" s="202" t="s">
        <v>337</v>
      </c>
      <c r="B13" s="39" t="s">
        <v>153</v>
      </c>
      <c r="C13" s="102">
        <f>SUMPRODUCT((Diário!$E$4:$E$2662='Analítico Cx.'!$B13)*(Diário!$B$4:$B$2662&gt;=C$4)*(Diário!$B$4:$B$2662&lt;=EOMONTH(C$4,0))*(Diário!$F$4:$F$2662))</f>
        <v>420255.74999999994</v>
      </c>
      <c r="D13" s="102">
        <f>SUMPRODUCT((Diário!$E$4:$E$2662='Analítico Cx.'!$B13)*(Diário!$B$4:$B$2662&gt;=D$4)*(Diário!$B$4:$B$2662&lt;=EOMONTH(D$4,0))*(Diário!$F$4:$F$2662))</f>
        <v>238029.87</v>
      </c>
      <c r="E13" s="102">
        <f>SUMPRODUCT((Diário!$E$4:$E$2662='Analítico Cx.'!$B13)*(Diário!$B$4:$B$2662&gt;=E$4)*(Diário!$B$4:$B$2662&lt;=EOMONTH(E$4,0))*(Diário!$F$4:$F$2662))</f>
        <v>358949.42999999993</v>
      </c>
      <c r="F13" s="102">
        <f>SUMPRODUCT((Diário!$E$4:$E$2662='Analítico Cx.'!$B13)*(Diário!$B$4:$B$2662&gt;=F$4)*(Diário!$B$4:$B$2662&lt;=EOMONTH(F$4,0))*(Diário!$F$4:$F$2662))</f>
        <v>774452.59999999986</v>
      </c>
      <c r="G13" s="102">
        <f>SUMPRODUCT((Diário!$E$4:$E$2662='Analítico Cx.'!$B13)*(Diário!$B$4:$B$2662&gt;=G$4)*(Diário!$B$4:$B$2662&lt;=EOMONTH(G$4,0))*(Diário!$F$4:$F$2662))</f>
        <v>723335.10000000009</v>
      </c>
      <c r="H13" s="102">
        <f>SUMPRODUCT((Diário!$E$4:$E$2662='Analítico Cx.'!$B13)*(Diário!$B$4:$B$2662&gt;=H$4)*(Diário!$B$4:$B$2662&lt;=EOMONTH(H$4,0))*(Diário!$F$4:$F$2662))</f>
        <v>294604.98000000004</v>
      </c>
      <c r="I13" s="102">
        <f>SUMPRODUCT((Diário!$E$4:$E$2662='Analítico Cx.'!$B13)*(Diário!$B$4:$B$2662&gt;=I$4)*(Diário!$B$4:$B$2662&lt;=EOMONTH(I$4,0))*(Diário!$F$4:$F$2662))</f>
        <v>0</v>
      </c>
      <c r="J13" s="102">
        <f>SUMPRODUCT((Diário!$E$4:$E$2662='Analítico Cx.'!$B13)*(Diário!$B$4:$B$2662&gt;=J$4)*(Diário!$B$4:$B$2662&lt;=EOMONTH(J$4,0))*(Diário!$F$4:$F$2662))</f>
        <v>0</v>
      </c>
      <c r="K13" s="102">
        <f>SUMPRODUCT((Diário!$E$4:$E$2662='Analítico Cx.'!$B13)*(Diário!$B$4:$B$2662&gt;=K$4)*(Diário!$B$4:$B$2662&lt;=EOMONTH(K$4,0))*(Diário!$F$4:$F$2662))</f>
        <v>0</v>
      </c>
      <c r="L13" s="102">
        <f>SUMPRODUCT((Diário!$E$4:$E$2662='Analítico Cx.'!$B13)*(Diário!$B$4:$B$2662&gt;=L$4)*(Diário!$B$4:$B$2662&lt;=EOMONTH(L$4,0))*(Diário!$F$4:$F$2662))</f>
        <v>0</v>
      </c>
      <c r="M13" s="102">
        <f>SUMPRODUCT((Diário!$E$4:$E$2662='Analítico Cx.'!$B13)*(Diário!$B$4:$B$2662&gt;=M$4)*(Diário!$B$4:$B$2662&lt;=EOMONTH(M$4,0))*(Diário!$F$4:$F$2662))</f>
        <v>0</v>
      </c>
      <c r="N13" s="102">
        <f>SUMPRODUCT((Diário!$E$4:$E$2662='Analítico Cx.'!$B13)*(Diário!$B$4:$B$2662&gt;=N$4)*(Diário!$B$4:$B$2662&lt;=EOMONTH(N$4,0))*(Diário!$F$4:$F$2662))</f>
        <v>0</v>
      </c>
      <c r="O13" s="103">
        <f>SUM(C13:N13)</f>
        <v>2809627.73</v>
      </c>
      <c r="P13" s="95">
        <f>IF($O$15=0,0,O13/$O$15)</f>
        <v>0.13564975846484689</v>
      </c>
      <c r="S13" s="282"/>
    </row>
    <row r="14" spans="1:19" ht="23.25" customHeight="1" thickBot="1">
      <c r="A14" s="17"/>
      <c r="B14" s="18" t="s">
        <v>354</v>
      </c>
      <c r="C14" s="104">
        <f>SUBTOTAL(109,C11:C13)</f>
        <v>4196546.1899999995</v>
      </c>
      <c r="D14" s="104">
        <f t="shared" ref="D14:O14" si="1">SUBTOTAL(109,D11:D13)</f>
        <v>-2868406.1499999994</v>
      </c>
      <c r="E14" s="104">
        <f t="shared" si="1"/>
        <v>2221616.2400000002</v>
      </c>
      <c r="F14" s="104">
        <f t="shared" si="1"/>
        <v>2387987.63</v>
      </c>
      <c r="G14" s="104">
        <f t="shared" si="1"/>
        <v>979436.04</v>
      </c>
      <c r="H14" s="104">
        <f t="shared" si="1"/>
        <v>4504365.42</v>
      </c>
      <c r="I14" s="104">
        <f t="shared" si="1"/>
        <v>0</v>
      </c>
      <c r="J14" s="104">
        <f t="shared" si="1"/>
        <v>0</v>
      </c>
      <c r="K14" s="104">
        <f t="shared" si="1"/>
        <v>0</v>
      </c>
      <c r="L14" s="104">
        <f t="shared" si="1"/>
        <v>0</v>
      </c>
      <c r="M14" s="104">
        <f t="shared" si="1"/>
        <v>0</v>
      </c>
      <c r="N14" s="104">
        <f t="shared" si="1"/>
        <v>0</v>
      </c>
      <c r="O14" s="104">
        <f t="shared" si="1"/>
        <v>11421545.369999999</v>
      </c>
      <c r="P14" s="96">
        <f>IF($O$15=0,0,O14/$O$15)</f>
        <v>0.55143599779882235</v>
      </c>
    </row>
    <row r="15" spans="1:19" ht="23.25" customHeight="1" thickBot="1">
      <c r="A15" s="198" t="s">
        <v>243</v>
      </c>
      <c r="B15" s="199"/>
      <c r="C15" s="200">
        <f t="shared" ref="C15:O15" si="2">SUBTOTAL(109,C8:C13)</f>
        <v>4212820</v>
      </c>
      <c r="D15" s="200">
        <f t="shared" si="2"/>
        <v>-1014118.3599999995</v>
      </c>
      <c r="E15" s="200">
        <f t="shared" si="2"/>
        <v>4077851.55</v>
      </c>
      <c r="F15" s="200">
        <f t="shared" si="2"/>
        <v>4240558.55</v>
      </c>
      <c r="G15" s="200">
        <f t="shared" si="2"/>
        <v>2833938.6300000004</v>
      </c>
      <c r="H15" s="200">
        <f t="shared" si="2"/>
        <v>6361317.7300000004</v>
      </c>
      <c r="I15" s="200">
        <f t="shared" si="2"/>
        <v>0</v>
      </c>
      <c r="J15" s="200">
        <f t="shared" si="2"/>
        <v>0</v>
      </c>
      <c r="K15" s="200">
        <f t="shared" si="2"/>
        <v>0</v>
      </c>
      <c r="L15" s="200">
        <f t="shared" si="2"/>
        <v>0</v>
      </c>
      <c r="M15" s="200">
        <f t="shared" si="2"/>
        <v>0</v>
      </c>
      <c r="N15" s="200">
        <f t="shared" si="2"/>
        <v>0</v>
      </c>
      <c r="O15" s="200">
        <f t="shared" si="2"/>
        <v>20712368.100000001</v>
      </c>
      <c r="P15" s="201">
        <f>IF($O$15=0,0,O15/$O$15)</f>
        <v>1</v>
      </c>
    </row>
    <row r="16" spans="1:19" ht="23.25" customHeight="1" thickBot="1">
      <c r="A16" s="19"/>
      <c r="B16" s="16"/>
      <c r="C16" s="20"/>
      <c r="D16" s="20"/>
      <c r="E16" s="20"/>
      <c r="F16" s="20"/>
      <c r="G16" s="20"/>
      <c r="H16" s="20"/>
      <c r="I16" s="20"/>
      <c r="J16" s="20"/>
      <c r="K16" s="20"/>
      <c r="L16" s="20"/>
      <c r="M16" s="20"/>
      <c r="N16" s="20"/>
      <c r="O16" s="20"/>
    </row>
    <row r="17" spans="1:16" ht="23.25" customHeight="1" thickBot="1">
      <c r="A17" s="213">
        <v>2</v>
      </c>
      <c r="B17" s="214" t="s">
        <v>144</v>
      </c>
      <c r="C17" s="196"/>
      <c r="D17" s="196"/>
      <c r="E17" s="196"/>
      <c r="F17" s="196"/>
      <c r="G17" s="196"/>
      <c r="H17" s="196"/>
      <c r="I17" s="196"/>
      <c r="J17" s="196"/>
      <c r="K17" s="196"/>
      <c r="L17" s="196"/>
      <c r="M17" s="196"/>
      <c r="N17" s="196"/>
      <c r="O17" s="196"/>
      <c r="P17" s="196"/>
    </row>
    <row r="18" spans="1:16" ht="23.25" customHeight="1">
      <c r="A18" s="206" t="s">
        <v>38</v>
      </c>
      <c r="B18" s="215" t="s">
        <v>166</v>
      </c>
      <c r="C18" s="216"/>
      <c r="D18" s="216"/>
      <c r="E18" s="216"/>
      <c r="F18" s="216"/>
      <c r="G18" s="216"/>
      <c r="H18" s="216"/>
      <c r="I18" s="216"/>
      <c r="J18" s="216"/>
      <c r="K18" s="216"/>
      <c r="L18" s="216"/>
      <c r="M18" s="216"/>
      <c r="N18" s="216"/>
      <c r="O18" s="216"/>
      <c r="P18" s="217"/>
    </row>
    <row r="19" spans="1:16" ht="23.25" customHeight="1">
      <c r="A19" s="218" t="s">
        <v>11</v>
      </c>
      <c r="B19" s="219" t="s">
        <v>81</v>
      </c>
      <c r="C19" s="205"/>
      <c r="D19" s="205"/>
      <c r="E19" s="205"/>
      <c r="F19" s="205"/>
      <c r="G19" s="205"/>
      <c r="H19" s="205"/>
      <c r="I19" s="205"/>
      <c r="J19" s="205"/>
      <c r="K19" s="205"/>
      <c r="L19" s="205"/>
      <c r="M19" s="205"/>
      <c r="N19" s="205"/>
      <c r="O19" s="205"/>
      <c r="P19" s="220"/>
    </row>
    <row r="20" spans="1:16" ht="23.25" customHeight="1">
      <c r="A20" s="40" t="s">
        <v>88</v>
      </c>
      <c r="B20" s="39" t="s">
        <v>1</v>
      </c>
      <c r="C20" s="102">
        <f>SUMPRODUCT((Diário!$E$4:$E$2662='Analítico Cx.'!$B20)*(Diário!$B$4:$B$2662&gt;=C$4)*(Diário!$B$4:$B$2662&lt;=EOMONTH(C$4,0))*(Diário!$F$4:$F$2662))</f>
        <v>213969.73</v>
      </c>
      <c r="D20" s="102">
        <f>SUMPRODUCT((Diário!$E$4:$E$2662='Analítico Cx.'!$B20)*(Diário!$B$4:$B$2662&gt;=D$4)*(Diário!$B$4:$B$2662&lt;=EOMONTH(D$4,0))*(Diário!$F$4:$F$2662))</f>
        <v>272240.3</v>
      </c>
      <c r="E20" s="102">
        <f>SUMPRODUCT((Diário!$E$4:$E$2662='Analítico Cx.'!$B20)*(Diário!$B$4:$B$2662&gt;=E$4)*(Diário!$B$4:$B$2662&lt;=EOMONTH(E$4,0))*(Diário!$F$4:$F$2662))</f>
        <v>1149266.8799999999</v>
      </c>
      <c r="F20" s="102">
        <f>SUMPRODUCT((Diário!$E$4:$E$2662='Analítico Cx.'!$B20)*(Diário!$B$4:$B$2662&gt;=F$4)*(Diário!$B$4:$B$2662&lt;=EOMONTH(F$4,0))*(Diário!$F$4:$F$2662))</f>
        <v>1281365.2100000004</v>
      </c>
      <c r="G20" s="102">
        <f>SUMPRODUCT((Diário!$E$4:$E$2662='Analítico Cx.'!$B20)*(Diário!$B$4:$B$2662&gt;=G$4)*(Diário!$B$4:$B$2662&lt;=EOMONTH(G$4,0))*(Diário!$F$4:$F$2662))</f>
        <v>1277251.48</v>
      </c>
      <c r="H20" s="102">
        <f>SUMPRODUCT((Diário!$E$4:$E$2662='Analítico Cx.'!$B20)*(Diário!$B$4:$B$2662&gt;=H$4)*(Diário!$B$4:$B$2662&lt;=EOMONTH(H$4,0))*(Diário!$F$4:$F$2662))</f>
        <v>1299802.8500000001</v>
      </c>
      <c r="I20" s="102">
        <f>SUMPRODUCT((Diário!$E$4:$E$2662='Analítico Cx.'!$B20)*(Diário!$B$4:$B$2662&gt;=I$4)*(Diário!$B$4:$B$2662&lt;=EOMONTH(I$4,0))*(Diário!$F$4:$F$2662))</f>
        <v>0</v>
      </c>
      <c r="J20" s="102">
        <f>SUMPRODUCT((Diário!$E$4:$E$2662='Analítico Cx.'!$B20)*(Diário!$B$4:$B$2662&gt;=J$4)*(Diário!$B$4:$B$2662&lt;=EOMONTH(J$4,0))*(Diário!$F$4:$F$2662))</f>
        <v>0</v>
      </c>
      <c r="K20" s="102">
        <f>SUMPRODUCT((Diário!$E$4:$E$2662='Analítico Cx.'!$B20)*(Diário!$B$4:$B$2662&gt;=K$4)*(Diário!$B$4:$B$2662&lt;=EOMONTH(K$4,0))*(Diário!$F$4:$F$2662))</f>
        <v>0</v>
      </c>
      <c r="L20" s="102">
        <f>SUMPRODUCT((Diário!$E$4:$E$2662='Analítico Cx.'!$B20)*(Diário!$B$4:$B$2662&gt;=L$4)*(Diário!$B$4:$B$2662&lt;=EOMONTH(L$4,0))*(Diário!$F$4:$F$2662))</f>
        <v>0</v>
      </c>
      <c r="M20" s="102">
        <f>SUMPRODUCT((Diário!$E$4:$E$2662='Analítico Cx.'!$B20)*(Diário!$B$4:$B$2662&gt;=M$4)*(Diário!$B$4:$B$2662&lt;=EOMONTH(M$4,0))*(Diário!$F$4:$F$2662))</f>
        <v>0</v>
      </c>
      <c r="N20" s="102">
        <f>SUMPRODUCT((Diário!$E$4:$E$2662='Analítico Cx.'!$B20)*(Diário!$B$4:$B$2662&gt;=N$4)*(Diário!$B$4:$B$2662&lt;=EOMONTH(N$4,0))*(Diário!$F$4:$F$2662))</f>
        <v>0</v>
      </c>
      <c r="O20" s="103">
        <f>SUM(C20:N20)</f>
        <v>5493896.4500000002</v>
      </c>
      <c r="P20" s="95">
        <f t="shared" ref="P20:P28" si="3">IF($O$191=0,0,O20/$O$191)</f>
        <v>0.28368611050970066</v>
      </c>
    </row>
    <row r="21" spans="1:16" ht="23.25" customHeight="1">
      <c r="A21" s="40" t="s">
        <v>89</v>
      </c>
      <c r="B21" s="38" t="s">
        <v>155</v>
      </c>
      <c r="C21" s="102">
        <f>SUMPRODUCT((Diário!$E$4:$E$2662='Analítico Cx.'!$B21)*(Diário!$B$4:$B$2662&gt;=C$4)*(Diário!$B$4:$B$2662&lt;=EOMONTH(C$4,0))*(Diário!$F$4:$F$2662))</f>
        <v>0</v>
      </c>
      <c r="D21" s="102">
        <f>SUMPRODUCT((Diário!$E$4:$E$2662='Analítico Cx.'!$B21)*(Diário!$B$4:$B$2662&gt;=D$4)*(Diário!$B$4:$B$2662&lt;=EOMONTH(D$4,0))*(Diário!$F$4:$F$2662))</f>
        <v>0</v>
      </c>
      <c r="E21" s="102">
        <f>SUMPRODUCT((Diário!$E$4:$E$2662='Analítico Cx.'!$B21)*(Diário!$B$4:$B$2662&gt;=E$4)*(Diário!$B$4:$B$2662&lt;=EOMONTH(E$4,0))*(Diário!$F$4:$F$2662))</f>
        <v>0</v>
      </c>
      <c r="F21" s="102">
        <f>SUMPRODUCT((Diário!$E$4:$E$2662='Analítico Cx.'!$B21)*(Diário!$B$4:$B$2662&gt;=F$4)*(Diário!$B$4:$B$2662&lt;=EOMONTH(F$4,0))*(Diário!$F$4:$F$2662))</f>
        <v>0</v>
      </c>
      <c r="G21" s="102">
        <f>SUMPRODUCT((Diário!$E$4:$E$2662='Analítico Cx.'!$B21)*(Diário!$B$4:$B$2662&gt;=G$4)*(Diário!$B$4:$B$2662&lt;=EOMONTH(G$4,0))*(Diário!$F$4:$F$2662))</f>
        <v>0</v>
      </c>
      <c r="H21" s="102">
        <f>SUMPRODUCT((Diário!$E$4:$E$2662='Analítico Cx.'!$B21)*(Diário!$B$4:$B$2662&gt;=H$4)*(Diário!$B$4:$B$2662&lt;=EOMONTH(H$4,0))*(Diário!$F$4:$F$2662))</f>
        <v>0</v>
      </c>
      <c r="I21" s="102">
        <f>SUMPRODUCT((Diário!$E$4:$E$2662='Analítico Cx.'!$B21)*(Diário!$B$4:$B$2662&gt;=I$4)*(Diário!$B$4:$B$2662&lt;=EOMONTH(I$4,0))*(Diário!$F$4:$F$2662))</f>
        <v>0</v>
      </c>
      <c r="J21" s="102">
        <f>SUMPRODUCT((Diário!$E$4:$E$2662='Analítico Cx.'!$B21)*(Diário!$B$4:$B$2662&gt;=J$4)*(Diário!$B$4:$B$2662&lt;=EOMONTH(J$4,0))*(Diário!$F$4:$F$2662))</f>
        <v>0</v>
      </c>
      <c r="K21" s="102">
        <f>SUMPRODUCT((Diário!$E$4:$E$2662='Analítico Cx.'!$B21)*(Diário!$B$4:$B$2662&gt;=K$4)*(Diário!$B$4:$B$2662&lt;=EOMONTH(K$4,0))*(Diário!$F$4:$F$2662))</f>
        <v>0</v>
      </c>
      <c r="L21" s="102">
        <f>SUMPRODUCT((Diário!$E$4:$E$2662='Analítico Cx.'!$B21)*(Diário!$B$4:$B$2662&gt;=L$4)*(Diário!$B$4:$B$2662&lt;=EOMONTH(L$4,0))*(Diário!$F$4:$F$2662))</f>
        <v>0</v>
      </c>
      <c r="M21" s="102">
        <f>SUMPRODUCT((Diário!$E$4:$E$2662='Analítico Cx.'!$B21)*(Diário!$B$4:$B$2662&gt;=M$4)*(Diário!$B$4:$B$2662&lt;=EOMONTH(M$4,0))*(Diário!$F$4:$F$2662))</f>
        <v>0</v>
      </c>
      <c r="N21" s="102">
        <f>SUMPRODUCT((Diário!$E$4:$E$2662='Analítico Cx.'!$B21)*(Diário!$B$4:$B$2662&gt;=N$4)*(Diário!$B$4:$B$2662&lt;=EOMONTH(N$4,0))*(Diário!$F$4:$F$2662))</f>
        <v>0</v>
      </c>
      <c r="O21" s="103">
        <f>SUM(C21:N21)</f>
        <v>0</v>
      </c>
      <c r="P21" s="95">
        <f t="shared" si="3"/>
        <v>0</v>
      </c>
    </row>
    <row r="22" spans="1:16" ht="23.25" customHeight="1">
      <c r="A22" s="40" t="s">
        <v>90</v>
      </c>
      <c r="B22" s="38" t="s">
        <v>340</v>
      </c>
      <c r="C22" s="102">
        <f>SUMPRODUCT((Diário!$E$4:$E$2662='Analítico Cx.'!$B22)*(Diário!$B$4:$B$2662&gt;=C$4)*(Diário!$B$4:$B$2662&lt;=EOMONTH(C$4,0))*(Diário!$F$4:$F$2662))</f>
        <v>0</v>
      </c>
      <c r="D22" s="102">
        <f>SUMPRODUCT((Diário!$E$4:$E$2662='Analítico Cx.'!$B22)*(Diário!$B$4:$B$2662&gt;=D$4)*(Diário!$B$4:$B$2662&lt;=EOMONTH(D$4,0))*(Diário!$F$4:$F$2662))</f>
        <v>0</v>
      </c>
      <c r="E22" s="102">
        <f>SUMPRODUCT((Diário!$E$4:$E$2662='Analítico Cx.'!$B22)*(Diário!$B$4:$B$2662&gt;=E$4)*(Diário!$B$4:$B$2662&lt;=EOMONTH(E$4,0))*(Diário!$F$4:$F$2662))</f>
        <v>0</v>
      </c>
      <c r="F22" s="102">
        <f>SUMPRODUCT((Diário!$E$4:$E$2662='Analítico Cx.'!$B22)*(Diário!$B$4:$B$2662&gt;=F$4)*(Diário!$B$4:$B$2662&lt;=EOMONTH(F$4,0))*(Diário!$F$4:$F$2662))</f>
        <v>0</v>
      </c>
      <c r="G22" s="102">
        <f>SUMPRODUCT((Diário!$E$4:$E$2662='Analítico Cx.'!$B22)*(Diário!$B$4:$B$2662&gt;=G$4)*(Diário!$B$4:$B$2662&lt;=EOMONTH(G$4,0))*(Diário!$F$4:$F$2662))</f>
        <v>0</v>
      </c>
      <c r="H22" s="102">
        <f>SUMPRODUCT((Diário!$E$4:$E$2662='Analítico Cx.'!$B22)*(Diário!$B$4:$B$2662&gt;=H$4)*(Diário!$B$4:$B$2662&lt;=EOMONTH(H$4,0))*(Diário!$F$4:$F$2662))</f>
        <v>0</v>
      </c>
      <c r="I22" s="102">
        <f>SUMPRODUCT((Diário!$E$4:$E$2662='Analítico Cx.'!$B22)*(Diário!$B$4:$B$2662&gt;=I$4)*(Diário!$B$4:$B$2662&lt;=EOMONTH(I$4,0))*(Diário!$F$4:$F$2662))</f>
        <v>0</v>
      </c>
      <c r="J22" s="102">
        <f>SUMPRODUCT((Diário!$E$4:$E$2662='Analítico Cx.'!$B22)*(Diário!$B$4:$B$2662&gt;=J$4)*(Diário!$B$4:$B$2662&lt;=EOMONTH(J$4,0))*(Diário!$F$4:$F$2662))</f>
        <v>0</v>
      </c>
      <c r="K22" s="102">
        <f>SUMPRODUCT((Diário!$E$4:$E$2662='Analítico Cx.'!$B22)*(Diário!$B$4:$B$2662&gt;=K$4)*(Diário!$B$4:$B$2662&lt;=EOMONTH(K$4,0))*(Diário!$F$4:$F$2662))</f>
        <v>0</v>
      </c>
      <c r="L22" s="102">
        <f>SUMPRODUCT((Diário!$E$4:$E$2662='Analítico Cx.'!$B22)*(Diário!$B$4:$B$2662&gt;=L$4)*(Diário!$B$4:$B$2662&lt;=EOMONTH(L$4,0))*(Diário!$F$4:$F$2662))</f>
        <v>0</v>
      </c>
      <c r="M22" s="102">
        <f>SUMPRODUCT((Diário!$E$4:$E$2662='Analítico Cx.'!$B22)*(Diário!$B$4:$B$2662&gt;=M$4)*(Diário!$B$4:$B$2662&lt;=EOMONTH(M$4,0))*(Diário!$F$4:$F$2662))</f>
        <v>0</v>
      </c>
      <c r="N22" s="102">
        <f>SUMPRODUCT((Diário!$E$4:$E$2662='Analítico Cx.'!$B22)*(Diário!$B$4:$B$2662&gt;=N$4)*(Diário!$B$4:$B$2662&lt;=EOMONTH(N$4,0))*(Diário!$F$4:$F$2662))</f>
        <v>0</v>
      </c>
      <c r="O22" s="103">
        <f t="shared" ref="O22:O27" si="4">SUM(C22:N22)</f>
        <v>0</v>
      </c>
      <c r="P22" s="95">
        <f t="shared" si="3"/>
        <v>0</v>
      </c>
    </row>
    <row r="23" spans="1:16" ht="23.25" customHeight="1">
      <c r="A23" s="40" t="s">
        <v>91</v>
      </c>
      <c r="B23" s="38" t="s">
        <v>341</v>
      </c>
      <c r="C23" s="102">
        <f>SUMPRODUCT((Diário!$E$4:$E$2662='Analítico Cx.'!$B23)*(Diário!$B$4:$B$2662&gt;=C$4)*(Diário!$B$4:$B$2662&lt;=EOMONTH(C$4,0))*(Diário!$F$4:$F$2662))</f>
        <v>0</v>
      </c>
      <c r="D23" s="102">
        <f>SUMPRODUCT((Diário!$E$4:$E$2662='Analítico Cx.'!$B23)*(Diário!$B$4:$B$2662&gt;=D$4)*(Diário!$B$4:$B$2662&lt;=EOMONTH(D$4,0))*(Diário!$F$4:$F$2662))</f>
        <v>0</v>
      </c>
      <c r="E23" s="102">
        <f>SUMPRODUCT((Diário!$E$4:$E$2662='Analítico Cx.'!$B23)*(Diário!$B$4:$B$2662&gt;=E$4)*(Diário!$B$4:$B$2662&lt;=EOMONTH(E$4,0))*(Diário!$F$4:$F$2662))</f>
        <v>0</v>
      </c>
      <c r="F23" s="102">
        <f>SUMPRODUCT((Diário!$E$4:$E$2662='Analítico Cx.'!$B23)*(Diário!$B$4:$B$2662&gt;=F$4)*(Diário!$B$4:$B$2662&lt;=EOMONTH(F$4,0))*(Diário!$F$4:$F$2662))</f>
        <v>0</v>
      </c>
      <c r="G23" s="102">
        <f>SUMPRODUCT((Diário!$E$4:$E$2662='Analítico Cx.'!$B23)*(Diário!$B$4:$B$2662&gt;=G$4)*(Diário!$B$4:$B$2662&lt;=EOMONTH(G$4,0))*(Diário!$F$4:$F$2662))</f>
        <v>0</v>
      </c>
      <c r="H23" s="102">
        <f>SUMPRODUCT((Diário!$E$4:$E$2662='Analítico Cx.'!$B23)*(Diário!$B$4:$B$2662&gt;=H$4)*(Diário!$B$4:$B$2662&lt;=EOMONTH(H$4,0))*(Diário!$F$4:$F$2662))</f>
        <v>0</v>
      </c>
      <c r="I23" s="102">
        <f>SUMPRODUCT((Diário!$E$4:$E$2662='Analítico Cx.'!$B23)*(Diário!$B$4:$B$2662&gt;=I$4)*(Diário!$B$4:$B$2662&lt;=EOMONTH(I$4,0))*(Diário!$F$4:$F$2662))</f>
        <v>0</v>
      </c>
      <c r="J23" s="102">
        <f>SUMPRODUCT((Diário!$E$4:$E$2662='Analítico Cx.'!$B23)*(Diário!$B$4:$B$2662&gt;=J$4)*(Diário!$B$4:$B$2662&lt;=EOMONTH(J$4,0))*(Diário!$F$4:$F$2662))</f>
        <v>0</v>
      </c>
      <c r="K23" s="102">
        <f>SUMPRODUCT((Diário!$E$4:$E$2662='Analítico Cx.'!$B23)*(Diário!$B$4:$B$2662&gt;=K$4)*(Diário!$B$4:$B$2662&lt;=EOMONTH(K$4,0))*(Diário!$F$4:$F$2662))</f>
        <v>0</v>
      </c>
      <c r="L23" s="102">
        <f>SUMPRODUCT((Diário!$E$4:$E$2662='Analítico Cx.'!$B23)*(Diário!$B$4:$B$2662&gt;=L$4)*(Diário!$B$4:$B$2662&lt;=EOMONTH(L$4,0))*(Diário!$F$4:$F$2662))</f>
        <v>0</v>
      </c>
      <c r="M23" s="102">
        <f>SUMPRODUCT((Diário!$E$4:$E$2662='Analítico Cx.'!$B23)*(Diário!$B$4:$B$2662&gt;=M$4)*(Diário!$B$4:$B$2662&lt;=EOMONTH(M$4,0))*(Diário!$F$4:$F$2662))</f>
        <v>0</v>
      </c>
      <c r="N23" s="102">
        <f>SUMPRODUCT((Diário!$E$4:$E$2662='Analítico Cx.'!$B23)*(Diário!$B$4:$B$2662&gt;=N$4)*(Diário!$B$4:$B$2662&lt;=EOMONTH(N$4,0))*(Diário!$F$4:$F$2662))</f>
        <v>0</v>
      </c>
      <c r="O23" s="103">
        <f t="shared" si="4"/>
        <v>0</v>
      </c>
      <c r="P23" s="95">
        <f t="shared" si="3"/>
        <v>0</v>
      </c>
    </row>
    <row r="24" spans="1:16" ht="23.25" customHeight="1">
      <c r="A24" s="40" t="s">
        <v>92</v>
      </c>
      <c r="B24" s="38" t="s">
        <v>342</v>
      </c>
      <c r="C24" s="102">
        <f>SUMPRODUCT((Diário!$E$4:$E$2662='Analítico Cx.'!$B24)*(Diário!$B$4:$B$2662&gt;=C$4)*(Diário!$B$4:$B$2662&lt;=EOMONTH(C$4,0))*(Diário!$F$4:$F$2662))</f>
        <v>0</v>
      </c>
      <c r="D24" s="102">
        <f>SUMPRODUCT((Diário!$E$4:$E$2662='Analítico Cx.'!$B24)*(Diário!$B$4:$B$2662&gt;=D$4)*(Diário!$B$4:$B$2662&lt;=EOMONTH(D$4,0))*(Diário!$F$4:$F$2662))</f>
        <v>0</v>
      </c>
      <c r="E24" s="102">
        <f>SUMPRODUCT((Diário!$E$4:$E$2662='Analítico Cx.'!$B24)*(Diário!$B$4:$B$2662&gt;=E$4)*(Diário!$B$4:$B$2662&lt;=EOMONTH(E$4,0))*(Diário!$F$4:$F$2662))</f>
        <v>0</v>
      </c>
      <c r="F24" s="102">
        <f>SUMPRODUCT((Diário!$E$4:$E$2662='Analítico Cx.'!$B24)*(Diário!$B$4:$B$2662&gt;=F$4)*(Diário!$B$4:$B$2662&lt;=EOMONTH(F$4,0))*(Diário!$F$4:$F$2662))</f>
        <v>0</v>
      </c>
      <c r="G24" s="102">
        <f>SUMPRODUCT((Diário!$E$4:$E$2662='Analítico Cx.'!$B24)*(Diário!$B$4:$B$2662&gt;=G$4)*(Diário!$B$4:$B$2662&lt;=EOMONTH(G$4,0))*(Diário!$F$4:$F$2662))</f>
        <v>0</v>
      </c>
      <c r="H24" s="102">
        <f>SUMPRODUCT((Diário!$E$4:$E$2662='Analítico Cx.'!$B24)*(Diário!$B$4:$B$2662&gt;=H$4)*(Diário!$B$4:$B$2662&lt;=EOMONTH(H$4,0))*(Diário!$F$4:$F$2662))</f>
        <v>0</v>
      </c>
      <c r="I24" s="102">
        <f>SUMPRODUCT((Diário!$E$4:$E$2662='Analítico Cx.'!$B24)*(Diário!$B$4:$B$2662&gt;=I$4)*(Diário!$B$4:$B$2662&lt;=EOMONTH(I$4,0))*(Diário!$F$4:$F$2662))</f>
        <v>0</v>
      </c>
      <c r="J24" s="102">
        <f>SUMPRODUCT((Diário!$E$4:$E$2662='Analítico Cx.'!$B24)*(Diário!$B$4:$B$2662&gt;=J$4)*(Diário!$B$4:$B$2662&lt;=EOMONTH(J$4,0))*(Diário!$F$4:$F$2662))</f>
        <v>0</v>
      </c>
      <c r="K24" s="102">
        <f>SUMPRODUCT((Diário!$E$4:$E$2662='Analítico Cx.'!$B24)*(Diário!$B$4:$B$2662&gt;=K$4)*(Diário!$B$4:$B$2662&lt;=EOMONTH(K$4,0))*(Diário!$F$4:$F$2662))</f>
        <v>0</v>
      </c>
      <c r="L24" s="102">
        <f>SUMPRODUCT((Diário!$E$4:$E$2662='Analítico Cx.'!$B24)*(Diário!$B$4:$B$2662&gt;=L$4)*(Diário!$B$4:$B$2662&lt;=EOMONTH(L$4,0))*(Diário!$F$4:$F$2662))</f>
        <v>0</v>
      </c>
      <c r="M24" s="102">
        <f>SUMPRODUCT((Diário!$E$4:$E$2662='Analítico Cx.'!$B24)*(Diário!$B$4:$B$2662&gt;=M$4)*(Diário!$B$4:$B$2662&lt;=EOMONTH(M$4,0))*(Diário!$F$4:$F$2662))</f>
        <v>0</v>
      </c>
      <c r="N24" s="102">
        <f>SUMPRODUCT((Diário!$E$4:$E$2662='Analítico Cx.'!$B24)*(Diário!$B$4:$B$2662&gt;=N$4)*(Diário!$B$4:$B$2662&lt;=EOMONTH(N$4,0))*(Diário!$F$4:$F$2662))</f>
        <v>0</v>
      </c>
      <c r="O24" s="103">
        <f t="shared" si="4"/>
        <v>0</v>
      </c>
      <c r="P24" s="95">
        <f t="shared" si="3"/>
        <v>0</v>
      </c>
    </row>
    <row r="25" spans="1:16" ht="23.25" customHeight="1">
      <c r="A25" s="40" t="s">
        <v>343</v>
      </c>
      <c r="B25" s="38" t="s">
        <v>344</v>
      </c>
      <c r="C25" s="102">
        <f>SUMPRODUCT((Diário!$E$4:$E$2662='Analítico Cx.'!$B25)*(Diário!$B$4:$B$2662&gt;=C$4)*(Diário!$B$4:$B$2662&lt;=EOMONTH(C$4,0))*(Diário!$F$4:$F$2662))</f>
        <v>0</v>
      </c>
      <c r="D25" s="102">
        <f>SUMPRODUCT((Diário!$E$4:$E$2662='Analítico Cx.'!$B25)*(Diário!$B$4:$B$2662&gt;=D$4)*(Diário!$B$4:$B$2662&lt;=EOMONTH(D$4,0))*(Diário!$F$4:$F$2662))</f>
        <v>0</v>
      </c>
      <c r="E25" s="102">
        <f>SUMPRODUCT((Diário!$E$4:$E$2662='Analítico Cx.'!$B25)*(Diário!$B$4:$B$2662&gt;=E$4)*(Diário!$B$4:$B$2662&lt;=EOMONTH(E$4,0))*(Diário!$F$4:$F$2662))</f>
        <v>0</v>
      </c>
      <c r="F25" s="102">
        <f>SUMPRODUCT((Diário!$E$4:$E$2662='Analítico Cx.'!$B25)*(Diário!$B$4:$B$2662&gt;=F$4)*(Diário!$B$4:$B$2662&lt;=EOMONTH(F$4,0))*(Diário!$F$4:$F$2662))</f>
        <v>0</v>
      </c>
      <c r="G25" s="102">
        <f>SUMPRODUCT((Diário!$E$4:$E$2662='Analítico Cx.'!$B25)*(Diário!$B$4:$B$2662&gt;=G$4)*(Diário!$B$4:$B$2662&lt;=EOMONTH(G$4,0))*(Diário!$F$4:$F$2662))</f>
        <v>0</v>
      </c>
      <c r="H25" s="102">
        <f>SUMPRODUCT((Diário!$E$4:$E$2662='Analítico Cx.'!$B25)*(Diário!$B$4:$B$2662&gt;=H$4)*(Diário!$B$4:$B$2662&lt;=EOMONTH(H$4,0))*(Diário!$F$4:$F$2662))</f>
        <v>0</v>
      </c>
      <c r="I25" s="102">
        <f>SUMPRODUCT((Diário!$E$4:$E$2662='Analítico Cx.'!$B25)*(Diário!$B$4:$B$2662&gt;=I$4)*(Diário!$B$4:$B$2662&lt;=EOMONTH(I$4,0))*(Diário!$F$4:$F$2662))</f>
        <v>0</v>
      </c>
      <c r="J25" s="102">
        <f>SUMPRODUCT((Diário!$E$4:$E$2662='Analítico Cx.'!$B25)*(Diário!$B$4:$B$2662&gt;=J$4)*(Diário!$B$4:$B$2662&lt;=EOMONTH(J$4,0))*(Diário!$F$4:$F$2662))</f>
        <v>0</v>
      </c>
      <c r="K25" s="102">
        <f>SUMPRODUCT((Diário!$E$4:$E$2662='Analítico Cx.'!$B25)*(Diário!$B$4:$B$2662&gt;=K$4)*(Diário!$B$4:$B$2662&lt;=EOMONTH(K$4,0))*(Diário!$F$4:$F$2662))</f>
        <v>0</v>
      </c>
      <c r="L25" s="102">
        <f>SUMPRODUCT((Diário!$E$4:$E$2662='Analítico Cx.'!$B25)*(Diário!$B$4:$B$2662&gt;=L$4)*(Diário!$B$4:$B$2662&lt;=EOMONTH(L$4,0))*(Diário!$F$4:$F$2662))</f>
        <v>0</v>
      </c>
      <c r="M25" s="102">
        <f>SUMPRODUCT((Diário!$E$4:$E$2662='Analítico Cx.'!$B25)*(Diário!$B$4:$B$2662&gt;=M$4)*(Diário!$B$4:$B$2662&lt;=EOMONTH(M$4,0))*(Diário!$F$4:$F$2662))</f>
        <v>0</v>
      </c>
      <c r="N25" s="102">
        <f>SUMPRODUCT((Diário!$E$4:$E$2662='Analítico Cx.'!$B25)*(Diário!$B$4:$B$2662&gt;=N$4)*(Diário!$B$4:$B$2662&lt;=EOMONTH(N$4,0))*(Diário!$F$4:$F$2662))</f>
        <v>0</v>
      </c>
      <c r="O25" s="103">
        <f t="shared" si="4"/>
        <v>0</v>
      </c>
      <c r="P25" s="95">
        <f t="shared" si="3"/>
        <v>0</v>
      </c>
    </row>
    <row r="26" spans="1:16" ht="23.25" customHeight="1">
      <c r="A26" s="40" t="s">
        <v>345</v>
      </c>
      <c r="B26" s="38" t="s">
        <v>346</v>
      </c>
      <c r="C26" s="102">
        <f>SUMPRODUCT((Diário!$E$4:$E$2662='Analítico Cx.'!$B26)*(Diário!$B$4:$B$2662&gt;=C$4)*(Diário!$B$4:$B$2662&lt;=EOMONTH(C$4,0))*(Diário!$F$4:$F$2662))</f>
        <v>0</v>
      </c>
      <c r="D26" s="102">
        <f>SUMPRODUCT((Diário!$E$4:$E$2662='Analítico Cx.'!$B26)*(Diário!$B$4:$B$2662&gt;=D$4)*(Diário!$B$4:$B$2662&lt;=EOMONTH(D$4,0))*(Diário!$F$4:$F$2662))</f>
        <v>0</v>
      </c>
      <c r="E26" s="102">
        <f>SUMPRODUCT((Diário!$E$4:$E$2662='Analítico Cx.'!$B26)*(Diário!$B$4:$B$2662&gt;=E$4)*(Diário!$B$4:$B$2662&lt;=EOMONTH(E$4,0))*(Diário!$F$4:$F$2662))</f>
        <v>0</v>
      </c>
      <c r="F26" s="102">
        <f>SUMPRODUCT((Diário!$E$4:$E$2662='Analítico Cx.'!$B26)*(Diário!$B$4:$B$2662&gt;=F$4)*(Diário!$B$4:$B$2662&lt;=EOMONTH(F$4,0))*(Diário!$F$4:$F$2662))</f>
        <v>0</v>
      </c>
      <c r="G26" s="102">
        <f>SUMPRODUCT((Diário!$E$4:$E$2662='Analítico Cx.'!$B26)*(Diário!$B$4:$B$2662&gt;=G$4)*(Diário!$B$4:$B$2662&lt;=EOMONTH(G$4,0))*(Diário!$F$4:$F$2662))</f>
        <v>0</v>
      </c>
      <c r="H26" s="102">
        <f>SUMPRODUCT((Diário!$E$4:$E$2662='Analítico Cx.'!$B26)*(Diário!$B$4:$B$2662&gt;=H$4)*(Diário!$B$4:$B$2662&lt;=EOMONTH(H$4,0))*(Diário!$F$4:$F$2662))</f>
        <v>0</v>
      </c>
      <c r="I26" s="102">
        <f>SUMPRODUCT((Diário!$E$4:$E$2662='Analítico Cx.'!$B26)*(Diário!$B$4:$B$2662&gt;=I$4)*(Diário!$B$4:$B$2662&lt;=EOMONTH(I$4,0))*(Diário!$F$4:$F$2662))</f>
        <v>0</v>
      </c>
      <c r="J26" s="102">
        <f>SUMPRODUCT((Diário!$E$4:$E$2662='Analítico Cx.'!$B26)*(Diário!$B$4:$B$2662&gt;=J$4)*(Diário!$B$4:$B$2662&lt;=EOMONTH(J$4,0))*(Diário!$F$4:$F$2662))</f>
        <v>0</v>
      </c>
      <c r="K26" s="102">
        <f>SUMPRODUCT((Diário!$E$4:$E$2662='Analítico Cx.'!$B26)*(Diário!$B$4:$B$2662&gt;=K$4)*(Diário!$B$4:$B$2662&lt;=EOMONTH(K$4,0))*(Diário!$F$4:$F$2662))</f>
        <v>0</v>
      </c>
      <c r="L26" s="102">
        <f>SUMPRODUCT((Diário!$E$4:$E$2662='Analítico Cx.'!$B26)*(Diário!$B$4:$B$2662&gt;=L$4)*(Diário!$B$4:$B$2662&lt;=EOMONTH(L$4,0))*(Diário!$F$4:$F$2662))</f>
        <v>0</v>
      </c>
      <c r="M26" s="102">
        <f>SUMPRODUCT((Diário!$E$4:$E$2662='Analítico Cx.'!$B26)*(Diário!$B$4:$B$2662&gt;=M$4)*(Diário!$B$4:$B$2662&lt;=EOMONTH(M$4,0))*(Diário!$F$4:$F$2662))</f>
        <v>0</v>
      </c>
      <c r="N26" s="102">
        <f>SUMPRODUCT((Diário!$E$4:$E$2662='Analítico Cx.'!$B26)*(Diário!$B$4:$B$2662&gt;=N$4)*(Diário!$B$4:$B$2662&lt;=EOMONTH(N$4,0))*(Diário!$F$4:$F$2662))</f>
        <v>0</v>
      </c>
      <c r="O26" s="103">
        <f t="shared" si="4"/>
        <v>0</v>
      </c>
      <c r="P26" s="95">
        <f t="shared" si="3"/>
        <v>0</v>
      </c>
    </row>
    <row r="27" spans="1:16" ht="23.25" customHeight="1">
      <c r="A27" s="40" t="s">
        <v>347</v>
      </c>
      <c r="B27" s="38" t="s">
        <v>82</v>
      </c>
      <c r="C27" s="102">
        <f>SUMPRODUCT((Diário!$E$4:$E$2662='Analítico Cx.'!$B27)*(Diário!$B$4:$B$2662&gt;=C$4)*(Diário!$B$4:$B$2662&lt;=EOMONTH(C$4,0))*(Diário!$F$4:$F$2662))</f>
        <v>0</v>
      </c>
      <c r="D27" s="102">
        <f>SUMPRODUCT((Diário!$E$4:$E$2662='Analítico Cx.'!$B27)*(Diário!$B$4:$B$2662&gt;=D$4)*(Diário!$B$4:$B$2662&lt;=EOMONTH(D$4,0))*(Diário!$F$4:$F$2662))</f>
        <v>0</v>
      </c>
      <c r="E27" s="102">
        <f>SUMPRODUCT((Diário!$E$4:$E$2662='Analítico Cx.'!$B27)*(Diário!$B$4:$B$2662&gt;=E$4)*(Diário!$B$4:$B$2662&lt;=EOMONTH(E$4,0))*(Diário!$F$4:$F$2662))</f>
        <v>0</v>
      </c>
      <c r="F27" s="102">
        <f>SUMPRODUCT((Diário!$E$4:$E$2662='Analítico Cx.'!$B27)*(Diário!$B$4:$B$2662&gt;=F$4)*(Diário!$B$4:$B$2662&lt;=EOMONTH(F$4,0))*(Diário!$F$4:$F$2662))</f>
        <v>0</v>
      </c>
      <c r="G27" s="102">
        <f>SUMPRODUCT((Diário!$E$4:$E$2662='Analítico Cx.'!$B27)*(Diário!$B$4:$B$2662&gt;=G$4)*(Diário!$B$4:$B$2662&lt;=EOMONTH(G$4,0))*(Diário!$F$4:$F$2662))</f>
        <v>0</v>
      </c>
      <c r="H27" s="102">
        <f>SUMPRODUCT((Diário!$E$4:$E$2662='Analítico Cx.'!$B27)*(Diário!$B$4:$B$2662&gt;=H$4)*(Diário!$B$4:$B$2662&lt;=EOMONTH(H$4,0))*(Diário!$F$4:$F$2662))</f>
        <v>0</v>
      </c>
      <c r="I27" s="102">
        <f>SUMPRODUCT((Diário!$E$4:$E$2662='Analítico Cx.'!$B27)*(Diário!$B$4:$B$2662&gt;=I$4)*(Diário!$B$4:$B$2662&lt;=EOMONTH(I$4,0))*(Diário!$F$4:$F$2662))</f>
        <v>0</v>
      </c>
      <c r="J27" s="102">
        <f>SUMPRODUCT((Diário!$E$4:$E$2662='Analítico Cx.'!$B27)*(Diário!$B$4:$B$2662&gt;=J$4)*(Diário!$B$4:$B$2662&lt;=EOMONTH(J$4,0))*(Diário!$F$4:$F$2662))</f>
        <v>0</v>
      </c>
      <c r="K27" s="102">
        <f>SUMPRODUCT((Diário!$E$4:$E$2662='Analítico Cx.'!$B27)*(Diário!$B$4:$B$2662&gt;=K$4)*(Diário!$B$4:$B$2662&lt;=EOMONTH(K$4,0))*(Diário!$F$4:$F$2662))</f>
        <v>0</v>
      </c>
      <c r="L27" s="102">
        <f>SUMPRODUCT((Diário!$E$4:$E$2662='Analítico Cx.'!$B27)*(Diário!$B$4:$B$2662&gt;=L$4)*(Diário!$B$4:$B$2662&lt;=EOMONTH(L$4,0))*(Diário!$F$4:$F$2662))</f>
        <v>0</v>
      </c>
      <c r="M27" s="102">
        <f>SUMPRODUCT((Diário!$E$4:$E$2662='Analítico Cx.'!$B27)*(Diário!$B$4:$B$2662&gt;=M$4)*(Diário!$B$4:$B$2662&lt;=EOMONTH(M$4,0))*(Diário!$F$4:$F$2662))</f>
        <v>0</v>
      </c>
      <c r="N27" s="102">
        <f>SUMPRODUCT((Diário!$E$4:$E$2662='Analítico Cx.'!$B27)*(Diário!$B$4:$B$2662&gt;=N$4)*(Diário!$B$4:$B$2662&lt;=EOMONTH(N$4,0))*(Diário!$F$4:$F$2662))</f>
        <v>0</v>
      </c>
      <c r="O27" s="103">
        <f t="shared" si="4"/>
        <v>0</v>
      </c>
      <c r="P27" s="95">
        <f t="shared" si="3"/>
        <v>0</v>
      </c>
    </row>
    <row r="28" spans="1:16" ht="23.25" customHeight="1">
      <c r="A28" s="17"/>
      <c r="B28" s="18" t="s">
        <v>93</v>
      </c>
      <c r="C28" s="104">
        <f t="shared" ref="C28:O28" si="5">SUBTOTAL(109,C20:C27)</f>
        <v>213969.73</v>
      </c>
      <c r="D28" s="104">
        <f t="shared" si="5"/>
        <v>272240.3</v>
      </c>
      <c r="E28" s="104">
        <f t="shared" si="5"/>
        <v>1149266.8799999999</v>
      </c>
      <c r="F28" s="104">
        <f t="shared" si="5"/>
        <v>1281365.2100000004</v>
      </c>
      <c r="G28" s="104">
        <f t="shared" si="5"/>
        <v>1277251.48</v>
      </c>
      <c r="H28" s="104">
        <f t="shared" si="5"/>
        <v>1299802.8500000001</v>
      </c>
      <c r="I28" s="104">
        <f t="shared" si="5"/>
        <v>0</v>
      </c>
      <c r="J28" s="104">
        <f t="shared" si="5"/>
        <v>0</v>
      </c>
      <c r="K28" s="104">
        <f t="shared" si="5"/>
        <v>0</v>
      </c>
      <c r="L28" s="104">
        <f t="shared" si="5"/>
        <v>0</v>
      </c>
      <c r="M28" s="104">
        <f t="shared" si="5"/>
        <v>0</v>
      </c>
      <c r="N28" s="104">
        <f t="shared" si="5"/>
        <v>0</v>
      </c>
      <c r="O28" s="104">
        <f t="shared" si="5"/>
        <v>5493896.4500000002</v>
      </c>
      <c r="P28" s="96">
        <f t="shared" si="3"/>
        <v>0.28368611050970066</v>
      </c>
    </row>
    <row r="29" spans="1:16" s="21" customFormat="1" ht="23.25" customHeight="1">
      <c r="A29" s="218" t="s">
        <v>12</v>
      </c>
      <c r="B29" s="219" t="s">
        <v>7</v>
      </c>
      <c r="C29" s="221"/>
      <c r="D29" s="221"/>
      <c r="E29" s="221"/>
      <c r="F29" s="221"/>
      <c r="G29" s="221"/>
      <c r="H29" s="221"/>
      <c r="I29" s="221"/>
      <c r="J29" s="221"/>
      <c r="K29" s="221"/>
      <c r="L29" s="221"/>
      <c r="M29" s="221"/>
      <c r="N29" s="221"/>
      <c r="O29" s="221"/>
      <c r="P29" s="222"/>
    </row>
    <row r="30" spans="1:16" ht="23.25" customHeight="1">
      <c r="A30" s="40" t="s">
        <v>94</v>
      </c>
      <c r="B30" s="39" t="s">
        <v>231</v>
      </c>
      <c r="C30" s="102">
        <f>SUMPRODUCT((Diário!$E$4:$E$2662='Analítico Cx.'!$B30)*(Diário!$B$4:$B$2662&gt;=C$4)*(Diário!$B$4:$B$2662&lt;=EOMONTH(C$4,0))*(Diário!$F$4:$F$2662))</f>
        <v>0</v>
      </c>
      <c r="D30" s="102">
        <f>SUMPRODUCT((Diário!$E$4:$E$2662='Analítico Cx.'!$B30)*(Diário!$B$4:$B$2662&gt;=D$4)*(Diário!$B$4:$B$2662&lt;=EOMONTH(D$4,0))*(Diário!$F$4:$F$2662))</f>
        <v>0</v>
      </c>
      <c r="E30" s="102">
        <f>SUMPRODUCT((Diário!$E$4:$E$2662='Analítico Cx.'!$B30)*(Diário!$B$4:$B$2662&gt;=E$4)*(Diário!$B$4:$B$2662&lt;=EOMONTH(E$4,0))*(Diário!$F$4:$F$2662))</f>
        <v>0</v>
      </c>
      <c r="F30" s="102">
        <f>SUMPRODUCT((Diário!$E$4:$E$2662='Analítico Cx.'!$B30)*(Diário!$B$4:$B$2662&gt;=F$4)*(Diário!$B$4:$B$2662&lt;=EOMONTH(F$4,0))*(Diário!$F$4:$F$2662))</f>
        <v>7312.5</v>
      </c>
      <c r="G30" s="102">
        <f>SUMPRODUCT((Diário!$E$4:$E$2662='Analítico Cx.'!$B30)*(Diário!$B$4:$B$2662&gt;=G$4)*(Diário!$B$4:$B$2662&lt;=EOMONTH(G$4,0))*(Diário!$F$4:$F$2662))</f>
        <v>18750</v>
      </c>
      <c r="H30" s="102">
        <f>SUMPRODUCT((Diário!$E$4:$E$2662='Analítico Cx.'!$B30)*(Diário!$B$4:$B$2662&gt;=H$4)*(Diário!$B$4:$B$2662&lt;=EOMONTH(H$4,0))*(Diário!$F$4:$F$2662))</f>
        <v>1140</v>
      </c>
      <c r="I30" s="102">
        <f>SUMPRODUCT((Diário!$E$4:$E$2662='Analítico Cx.'!$B30)*(Diário!$B$4:$B$2662&gt;=I$4)*(Diário!$B$4:$B$2662&lt;=EOMONTH(I$4,0))*(Diário!$F$4:$F$2662))</f>
        <v>0</v>
      </c>
      <c r="J30" s="102">
        <f>SUMPRODUCT((Diário!$E$4:$E$2662='Analítico Cx.'!$B30)*(Diário!$B$4:$B$2662&gt;=J$4)*(Diário!$B$4:$B$2662&lt;=EOMONTH(J$4,0))*(Diário!$F$4:$F$2662))</f>
        <v>0</v>
      </c>
      <c r="K30" s="102">
        <f>SUMPRODUCT((Diário!$E$4:$E$2662='Analítico Cx.'!$B30)*(Diário!$B$4:$B$2662&gt;=K$4)*(Diário!$B$4:$B$2662&lt;=EOMONTH(K$4,0))*(Diário!$F$4:$F$2662))</f>
        <v>0</v>
      </c>
      <c r="L30" s="102">
        <f>SUMPRODUCT((Diário!$E$4:$E$2662='Analítico Cx.'!$B30)*(Diário!$B$4:$B$2662&gt;=L$4)*(Diário!$B$4:$B$2662&lt;=EOMONTH(L$4,0))*(Diário!$F$4:$F$2662))</f>
        <v>0</v>
      </c>
      <c r="M30" s="102">
        <f>SUMPRODUCT((Diário!$E$4:$E$2662='Analítico Cx.'!$B30)*(Diário!$B$4:$B$2662&gt;=M$4)*(Diário!$B$4:$B$2662&lt;=EOMONTH(M$4,0))*(Diário!$F$4:$F$2662))</f>
        <v>0</v>
      </c>
      <c r="N30" s="102">
        <f>SUMPRODUCT((Diário!$E$4:$E$2662='Analítico Cx.'!$B30)*(Diário!$B$4:$B$2662&gt;=N$4)*(Diário!$B$4:$B$2662&lt;=EOMONTH(N$4,0))*(Diário!$F$4:$F$2662))</f>
        <v>0</v>
      </c>
      <c r="O30" s="103">
        <f>SUM(C30:N30)</f>
        <v>27202.5</v>
      </c>
      <c r="P30" s="95">
        <f>IF($O$191=0,0,O30/$O$191)</f>
        <v>1.4046444980119952E-3</v>
      </c>
    </row>
    <row r="31" spans="1:16" ht="23.25" customHeight="1">
      <c r="A31" s="40" t="s">
        <v>232</v>
      </c>
      <c r="B31" s="39" t="s">
        <v>233</v>
      </c>
      <c r="C31" s="102">
        <f>SUMPRODUCT((Diário!$E$4:$E$2662='Analítico Cx.'!$B31)*(Diário!$B$4:$B$2662&gt;=C$4)*(Diário!$B$4:$B$2662&lt;=EOMONTH(C$4,0))*(Diário!$F$4:$F$2662))</f>
        <v>0</v>
      </c>
      <c r="D31" s="102">
        <f>SUMPRODUCT((Diário!$E$4:$E$2662='Analítico Cx.'!$B31)*(Diário!$B$4:$B$2662&gt;=D$4)*(Diário!$B$4:$B$2662&lt;=EOMONTH(D$4,0))*(Diário!$F$4:$F$2662))</f>
        <v>0</v>
      </c>
      <c r="E31" s="102">
        <f>SUMPRODUCT((Diário!$E$4:$E$2662='Analítico Cx.'!$B31)*(Diário!$B$4:$B$2662&gt;=E$4)*(Diário!$B$4:$B$2662&lt;=EOMONTH(E$4,0))*(Diário!$F$4:$F$2662))</f>
        <v>0</v>
      </c>
      <c r="F31" s="102">
        <f>SUMPRODUCT((Diário!$E$4:$E$2662='Analítico Cx.'!$B31)*(Diário!$B$4:$B$2662&gt;=F$4)*(Diário!$B$4:$B$2662&lt;=EOMONTH(F$4,0))*(Diário!$F$4:$F$2662))</f>
        <v>0</v>
      </c>
      <c r="G31" s="102">
        <f>SUMPRODUCT((Diário!$E$4:$E$2662='Analítico Cx.'!$B31)*(Diário!$B$4:$B$2662&gt;=G$4)*(Diário!$B$4:$B$2662&lt;=EOMONTH(G$4,0))*(Diário!$F$4:$F$2662))</f>
        <v>0</v>
      </c>
      <c r="H31" s="102">
        <f>SUMPRODUCT((Diário!$E$4:$E$2662='Analítico Cx.'!$B31)*(Diário!$B$4:$B$2662&gt;=H$4)*(Diário!$B$4:$B$2662&lt;=EOMONTH(H$4,0))*(Diário!$F$4:$F$2662))</f>
        <v>0</v>
      </c>
      <c r="I31" s="102">
        <f>SUMPRODUCT((Diário!$E$4:$E$2662='Analítico Cx.'!$B31)*(Diário!$B$4:$B$2662&gt;=I$4)*(Diário!$B$4:$B$2662&lt;=EOMONTH(I$4,0))*(Diário!$F$4:$F$2662))</f>
        <v>0</v>
      </c>
      <c r="J31" s="102">
        <f>SUMPRODUCT((Diário!$E$4:$E$2662='Analítico Cx.'!$B31)*(Diário!$B$4:$B$2662&gt;=J$4)*(Diário!$B$4:$B$2662&lt;=EOMONTH(J$4,0))*(Diário!$F$4:$F$2662))</f>
        <v>0</v>
      </c>
      <c r="K31" s="102">
        <f>SUMPRODUCT((Diário!$E$4:$E$2662='Analítico Cx.'!$B31)*(Diário!$B$4:$B$2662&gt;=K$4)*(Diário!$B$4:$B$2662&lt;=EOMONTH(K$4,0))*(Diário!$F$4:$F$2662))</f>
        <v>0</v>
      </c>
      <c r="L31" s="102">
        <f>SUMPRODUCT((Diário!$E$4:$E$2662='Analítico Cx.'!$B31)*(Diário!$B$4:$B$2662&gt;=L$4)*(Diário!$B$4:$B$2662&lt;=EOMONTH(L$4,0))*(Diário!$F$4:$F$2662))</f>
        <v>0</v>
      </c>
      <c r="M31" s="102">
        <f>SUMPRODUCT((Diário!$E$4:$E$2662='Analítico Cx.'!$B31)*(Diário!$B$4:$B$2662&gt;=M$4)*(Diário!$B$4:$B$2662&lt;=EOMONTH(M$4,0))*(Diário!$F$4:$F$2662))</f>
        <v>0</v>
      </c>
      <c r="N31" s="102">
        <f>SUMPRODUCT((Diário!$E$4:$E$2662='Analítico Cx.'!$B31)*(Diário!$B$4:$B$2662&gt;=N$4)*(Diário!$B$4:$B$2662&lt;=EOMONTH(N$4,0))*(Diário!$F$4:$F$2662))</f>
        <v>0</v>
      </c>
      <c r="O31" s="103">
        <f>SUM(C31:N31)</f>
        <v>0</v>
      </c>
      <c r="P31" s="95">
        <f>IF($O$191=0,0,O31/$O$191)</f>
        <v>0</v>
      </c>
    </row>
    <row r="32" spans="1:16" ht="23.25" customHeight="1">
      <c r="A32" s="17"/>
      <c r="B32" s="18" t="s">
        <v>95</v>
      </c>
      <c r="C32" s="104">
        <f>SUBTOTAL(109,C30:C31)</f>
        <v>0</v>
      </c>
      <c r="D32" s="104">
        <f t="shared" ref="D32:O32" si="6">SUBTOTAL(109,D30:D31)</f>
        <v>0</v>
      </c>
      <c r="E32" s="104">
        <f t="shared" si="6"/>
        <v>0</v>
      </c>
      <c r="F32" s="104">
        <f t="shared" si="6"/>
        <v>7312.5</v>
      </c>
      <c r="G32" s="104">
        <f t="shared" si="6"/>
        <v>18750</v>
      </c>
      <c r="H32" s="104">
        <f t="shared" si="6"/>
        <v>1140</v>
      </c>
      <c r="I32" s="104">
        <f t="shared" ref="I32:N32" si="7">SUBTOTAL(109,I30:I31)</f>
        <v>0</v>
      </c>
      <c r="J32" s="104">
        <f t="shared" si="7"/>
        <v>0</v>
      </c>
      <c r="K32" s="104">
        <f t="shared" si="7"/>
        <v>0</v>
      </c>
      <c r="L32" s="104">
        <f t="shared" si="7"/>
        <v>0</v>
      </c>
      <c r="M32" s="104">
        <f t="shared" si="7"/>
        <v>0</v>
      </c>
      <c r="N32" s="104">
        <f t="shared" si="7"/>
        <v>0</v>
      </c>
      <c r="O32" s="104">
        <f t="shared" si="6"/>
        <v>27202.5</v>
      </c>
      <c r="P32" s="96">
        <f>IF($O$191=0,0,O32/$O$191)</f>
        <v>1.4046444980119952E-3</v>
      </c>
    </row>
    <row r="33" spans="1:16" ht="23.25" customHeight="1">
      <c r="A33" s="203" t="s">
        <v>13</v>
      </c>
      <c r="B33" s="219" t="s">
        <v>36</v>
      </c>
      <c r="C33" s="221"/>
      <c r="D33" s="221"/>
      <c r="E33" s="221"/>
      <c r="F33" s="221"/>
      <c r="G33" s="221"/>
      <c r="H33" s="221"/>
      <c r="I33" s="221"/>
      <c r="J33" s="221"/>
      <c r="K33" s="221"/>
      <c r="L33" s="221"/>
      <c r="M33" s="221"/>
      <c r="N33" s="221"/>
      <c r="O33" s="221"/>
      <c r="P33" s="222"/>
    </row>
    <row r="34" spans="1:16" ht="23.25" customHeight="1">
      <c r="A34" s="40" t="s">
        <v>96</v>
      </c>
      <c r="B34" s="39" t="s">
        <v>234</v>
      </c>
      <c r="C34" s="102">
        <f>SUMPRODUCT((Diário!$E$4:$E$2662='Analítico Cx.'!$B34)*(Diário!$B$4:$B$2662&gt;=C$4)*(Diário!$B$4:$B$2662&lt;=EOMONTH(C$4,0))*(Diário!$F$4:$F$2662))</f>
        <v>455545.02</v>
      </c>
      <c r="D34" s="102">
        <f>SUMPRODUCT((Diário!$E$4:$E$2662='Analítico Cx.'!$B34)*(Diário!$B$4:$B$2662&gt;=D$4)*(Diário!$B$4:$B$2662&lt;=EOMONTH(D$4,0))*(Diário!$F$4:$F$2662))</f>
        <v>553647.12</v>
      </c>
      <c r="E34" s="102">
        <f>SUMPRODUCT((Diário!$E$4:$E$2662='Analítico Cx.'!$B34)*(Diário!$B$4:$B$2662&gt;=E$4)*(Diário!$B$4:$B$2662&lt;=EOMONTH(E$4,0))*(Diário!$F$4:$F$2662))</f>
        <v>451339.56</v>
      </c>
      <c r="F34" s="102">
        <f>SUMPRODUCT((Diário!$E$4:$E$2662='Analítico Cx.'!$B34)*(Diário!$B$4:$B$2662&gt;=F$4)*(Diário!$B$4:$B$2662&lt;=EOMONTH(F$4,0))*(Diário!$F$4:$F$2662))</f>
        <v>456006.57999999996</v>
      </c>
      <c r="G34" s="102">
        <f>SUMPRODUCT((Diário!$E$4:$E$2662='Analítico Cx.'!$B34)*(Diário!$B$4:$B$2662&gt;=G$4)*(Diário!$B$4:$B$2662&lt;=EOMONTH(G$4,0))*(Diário!$F$4:$F$2662))</f>
        <v>459792.01</v>
      </c>
      <c r="H34" s="102">
        <f>SUMPRODUCT((Diário!$E$4:$E$2662='Analítico Cx.'!$B34)*(Diário!$B$4:$B$2662&gt;=H$4)*(Diário!$B$4:$B$2662&lt;=EOMONTH(H$4,0))*(Diário!$F$4:$F$2662))</f>
        <v>455114.80999999994</v>
      </c>
      <c r="I34" s="102">
        <f>SUMPRODUCT((Diário!$E$4:$E$2662='Analítico Cx.'!$B34)*(Diário!$B$4:$B$2662&gt;=I$4)*(Diário!$B$4:$B$2662&lt;=EOMONTH(I$4,0))*(Diário!$F$4:$F$2662))</f>
        <v>0</v>
      </c>
      <c r="J34" s="102">
        <f>SUMPRODUCT((Diário!$E$4:$E$2662='Analítico Cx.'!$B34)*(Diário!$B$4:$B$2662&gt;=J$4)*(Diário!$B$4:$B$2662&lt;=EOMONTH(J$4,0))*(Diário!$F$4:$F$2662))</f>
        <v>0</v>
      </c>
      <c r="K34" s="102">
        <f>SUMPRODUCT((Diário!$E$4:$E$2662='Analítico Cx.'!$B34)*(Diário!$B$4:$B$2662&gt;=K$4)*(Diário!$B$4:$B$2662&lt;=EOMONTH(K$4,0))*(Diário!$F$4:$F$2662))</f>
        <v>0</v>
      </c>
      <c r="L34" s="102">
        <f>SUMPRODUCT((Diário!$E$4:$E$2662='Analítico Cx.'!$B34)*(Diário!$B$4:$B$2662&gt;=L$4)*(Diário!$B$4:$B$2662&lt;=EOMONTH(L$4,0))*(Diário!$F$4:$F$2662))</f>
        <v>0</v>
      </c>
      <c r="M34" s="102">
        <f>SUMPRODUCT((Diário!$E$4:$E$2662='Analítico Cx.'!$B34)*(Diário!$B$4:$B$2662&gt;=M$4)*(Diário!$B$4:$B$2662&lt;=EOMONTH(M$4,0))*(Diário!$F$4:$F$2662))</f>
        <v>0</v>
      </c>
      <c r="N34" s="102">
        <f>SUMPRODUCT((Diário!$E$4:$E$2662='Analítico Cx.'!$B34)*(Diário!$B$4:$B$2662&gt;=N$4)*(Diário!$B$4:$B$2662&lt;=EOMONTH(N$4,0))*(Diário!$F$4:$F$2662))</f>
        <v>0</v>
      </c>
      <c r="O34" s="103">
        <f>SUM(C34:N34)</f>
        <v>2831445.1</v>
      </c>
      <c r="P34" s="95">
        <f t="shared" ref="P34:P57" si="8">IF($O$191=0,0,O34/$O$191)</f>
        <v>0.14620618623795695</v>
      </c>
    </row>
    <row r="35" spans="1:16" ht="23.25" customHeight="1">
      <c r="A35" s="40" t="s">
        <v>158</v>
      </c>
      <c r="B35" s="39" t="s">
        <v>245</v>
      </c>
      <c r="C35" s="102">
        <f>SUMPRODUCT((Diário!$E$4:$E$2662='Analítico Cx.'!$B35)*(Diário!$B$4:$B$2662&gt;=C$4)*(Diário!$B$4:$B$2662&lt;=EOMONTH(C$4,0))*(Diário!$F$4:$F$2662))</f>
        <v>12918.88</v>
      </c>
      <c r="D35" s="102">
        <f>SUMPRODUCT((Diário!$E$4:$E$2662='Analítico Cx.'!$B35)*(Diário!$B$4:$B$2662&gt;=D$4)*(Diário!$B$4:$B$2662&lt;=EOMONTH(D$4,0))*(Diário!$F$4:$F$2662))</f>
        <v>16366.24</v>
      </c>
      <c r="E35" s="102">
        <f>SUMPRODUCT((Diário!$E$4:$E$2662='Analítico Cx.'!$B35)*(Diário!$B$4:$B$2662&gt;=E$4)*(Diário!$B$4:$B$2662&lt;=EOMONTH(E$4,0))*(Diário!$F$4:$F$2662))</f>
        <v>13066.21</v>
      </c>
      <c r="F35" s="102">
        <f>SUMPRODUCT((Diário!$E$4:$E$2662='Analítico Cx.'!$B35)*(Diário!$B$4:$B$2662&gt;=F$4)*(Diário!$B$4:$B$2662&lt;=EOMONTH(F$4,0))*(Diário!$F$4:$F$2662))</f>
        <v>13168.69</v>
      </c>
      <c r="G35" s="102">
        <f>SUMPRODUCT((Diário!$E$4:$E$2662='Analítico Cx.'!$B35)*(Diário!$B$4:$B$2662&gt;=G$4)*(Diário!$B$4:$B$2662&lt;=EOMONTH(G$4,0))*(Diário!$F$4:$F$2662))</f>
        <v>13355</v>
      </c>
      <c r="H35" s="102">
        <f>SUMPRODUCT((Diário!$E$4:$E$2662='Analítico Cx.'!$B35)*(Diário!$B$4:$B$2662&gt;=H$4)*(Diário!$B$4:$B$2662&lt;=EOMONTH(H$4,0))*(Diário!$F$4:$F$2662))</f>
        <v>13204.41</v>
      </c>
      <c r="I35" s="102">
        <f>SUMPRODUCT((Diário!$E$4:$E$2662='Analítico Cx.'!$B35)*(Diário!$B$4:$B$2662&gt;=I$4)*(Diário!$B$4:$B$2662&lt;=EOMONTH(I$4,0))*(Diário!$F$4:$F$2662))</f>
        <v>0</v>
      </c>
      <c r="J35" s="102">
        <f>SUMPRODUCT((Diário!$E$4:$E$2662='Analítico Cx.'!$B35)*(Diário!$B$4:$B$2662&gt;=J$4)*(Diário!$B$4:$B$2662&lt;=EOMONTH(J$4,0))*(Diário!$F$4:$F$2662))</f>
        <v>0</v>
      </c>
      <c r="K35" s="102">
        <f>SUMPRODUCT((Diário!$E$4:$E$2662='Analítico Cx.'!$B35)*(Diário!$B$4:$B$2662&gt;=K$4)*(Diário!$B$4:$B$2662&lt;=EOMONTH(K$4,0))*(Diário!$F$4:$F$2662))</f>
        <v>0</v>
      </c>
      <c r="L35" s="102">
        <f>SUMPRODUCT((Diário!$E$4:$E$2662='Analítico Cx.'!$B35)*(Diário!$B$4:$B$2662&gt;=L$4)*(Diário!$B$4:$B$2662&lt;=EOMONTH(L$4,0))*(Diário!$F$4:$F$2662))</f>
        <v>0</v>
      </c>
      <c r="M35" s="102">
        <f>SUMPRODUCT((Diário!$E$4:$E$2662='Analítico Cx.'!$B35)*(Diário!$B$4:$B$2662&gt;=M$4)*(Diário!$B$4:$B$2662&lt;=EOMONTH(M$4,0))*(Diário!$F$4:$F$2662))</f>
        <v>0</v>
      </c>
      <c r="N35" s="102">
        <f>SUMPRODUCT((Diário!$E$4:$E$2662='Analítico Cx.'!$B35)*(Diário!$B$4:$B$2662&gt;=N$4)*(Diário!$B$4:$B$2662&lt;=EOMONTH(N$4,0))*(Diário!$F$4:$F$2662))</f>
        <v>0</v>
      </c>
      <c r="O35" s="103">
        <f t="shared" ref="O35:O44" si="9">SUM(C35:N35)</f>
        <v>82079.430000000008</v>
      </c>
      <c r="P35" s="95">
        <f t="shared" si="8"/>
        <v>4.2383023527051084E-3</v>
      </c>
    </row>
    <row r="36" spans="1:16" ht="23.25" customHeight="1">
      <c r="A36" s="40" t="s">
        <v>222</v>
      </c>
      <c r="B36" s="39" t="s">
        <v>4</v>
      </c>
      <c r="C36" s="102">
        <f>SUMPRODUCT((Diário!$E$4:$E$2662='Analítico Cx.'!$B36)*(Diário!$B$4:$B$2662&gt;=C$4)*(Diário!$B$4:$B$2662&lt;=EOMONTH(C$4,0))*(Diário!$F$4:$F$2662))</f>
        <v>161432.66999999998</v>
      </c>
      <c r="D36" s="102">
        <f>SUMPRODUCT((Diário!$E$4:$E$2662='Analítico Cx.'!$B36)*(Diário!$B$4:$B$2662&gt;=D$4)*(Diário!$B$4:$B$2662&lt;=EOMONTH(D$4,0))*(Diário!$F$4:$F$2662))</f>
        <v>134409.06</v>
      </c>
      <c r="E36" s="102">
        <f>SUMPRODUCT((Diário!$E$4:$E$2662='Analítico Cx.'!$B36)*(Diário!$B$4:$B$2662&gt;=E$4)*(Diário!$B$4:$B$2662&lt;=EOMONTH(E$4,0))*(Diário!$F$4:$F$2662))</f>
        <v>111846.34999999999</v>
      </c>
      <c r="F36" s="102">
        <f>SUMPRODUCT((Diário!$E$4:$E$2662='Analítico Cx.'!$B36)*(Diário!$B$4:$B$2662&gt;=F$4)*(Diário!$B$4:$B$2662&lt;=EOMONTH(F$4,0))*(Diário!$F$4:$F$2662))</f>
        <v>111901.32</v>
      </c>
      <c r="G36" s="102">
        <f>SUMPRODUCT((Diário!$E$4:$E$2662='Analítico Cx.'!$B36)*(Diário!$B$4:$B$2662&gt;=G$4)*(Diário!$B$4:$B$2662&lt;=EOMONTH(G$4,0))*(Diário!$F$4:$F$2662))</f>
        <v>110989.92</v>
      </c>
      <c r="H36" s="102">
        <f>SUMPRODUCT((Diário!$E$4:$E$2662='Analítico Cx.'!$B36)*(Diário!$B$4:$B$2662&gt;=H$4)*(Diário!$B$4:$B$2662&lt;=EOMONTH(H$4,0))*(Diário!$F$4:$F$2662))</f>
        <v>118057.79999999999</v>
      </c>
      <c r="I36" s="102">
        <f>SUMPRODUCT((Diário!$E$4:$E$2662='Analítico Cx.'!$B36)*(Diário!$B$4:$B$2662&gt;=I$4)*(Diário!$B$4:$B$2662&lt;=EOMONTH(I$4,0))*(Diário!$F$4:$F$2662))</f>
        <v>0</v>
      </c>
      <c r="J36" s="102">
        <f>SUMPRODUCT((Diário!$E$4:$E$2662='Analítico Cx.'!$B36)*(Diário!$B$4:$B$2662&gt;=J$4)*(Diário!$B$4:$B$2662&lt;=EOMONTH(J$4,0))*(Diário!$F$4:$F$2662))</f>
        <v>0</v>
      </c>
      <c r="K36" s="102">
        <f>SUMPRODUCT((Diário!$E$4:$E$2662='Analítico Cx.'!$B36)*(Diário!$B$4:$B$2662&gt;=K$4)*(Diário!$B$4:$B$2662&lt;=EOMONTH(K$4,0))*(Diário!$F$4:$F$2662))</f>
        <v>0</v>
      </c>
      <c r="L36" s="102">
        <f>SUMPRODUCT((Diário!$E$4:$E$2662='Analítico Cx.'!$B36)*(Diário!$B$4:$B$2662&gt;=L$4)*(Diário!$B$4:$B$2662&lt;=EOMONTH(L$4,0))*(Diário!$F$4:$F$2662))</f>
        <v>0</v>
      </c>
      <c r="M36" s="102">
        <f>SUMPRODUCT((Diário!$E$4:$E$2662='Analítico Cx.'!$B36)*(Diário!$B$4:$B$2662&gt;=M$4)*(Diário!$B$4:$B$2662&lt;=EOMONTH(M$4,0))*(Diário!$F$4:$F$2662))</f>
        <v>0</v>
      </c>
      <c r="N36" s="102">
        <f>SUMPRODUCT((Diário!$E$4:$E$2662='Analítico Cx.'!$B36)*(Diário!$B$4:$B$2662&gt;=N$4)*(Diário!$B$4:$B$2662&lt;=EOMONTH(N$4,0))*(Diário!$F$4:$F$2662))</f>
        <v>0</v>
      </c>
      <c r="O36" s="103">
        <f t="shared" si="9"/>
        <v>748637.11999999988</v>
      </c>
      <c r="P36" s="95">
        <f t="shared" si="8"/>
        <v>3.8657072387300644E-2</v>
      </c>
    </row>
    <row r="37" spans="1:16" ht="23.25" customHeight="1">
      <c r="A37" s="40" t="s">
        <v>223</v>
      </c>
      <c r="B37" s="39" t="s">
        <v>10</v>
      </c>
      <c r="C37" s="102">
        <f>SUMPRODUCT((Diário!$E$4:$E$2662='Analítico Cx.'!$B37)*(Diário!$B$4:$B$2662&gt;=C$4)*(Diário!$B$4:$B$2662&lt;=EOMONTH(C$4,0))*(Diário!$F$4:$F$2662))</f>
        <v>199316.41</v>
      </c>
      <c r="D37" s="102">
        <f>SUMPRODUCT((Diário!$E$4:$E$2662='Analítico Cx.'!$B37)*(Diário!$B$4:$B$2662&gt;=D$4)*(Diário!$B$4:$B$2662&lt;=EOMONTH(D$4,0))*(Diário!$F$4:$F$2662))</f>
        <v>0</v>
      </c>
      <c r="E37" s="102">
        <f>SUMPRODUCT((Diário!$E$4:$E$2662='Analítico Cx.'!$B37)*(Diário!$B$4:$B$2662&gt;=E$4)*(Diário!$B$4:$B$2662&lt;=EOMONTH(E$4,0))*(Diário!$F$4:$F$2662))</f>
        <v>0</v>
      </c>
      <c r="F37" s="102">
        <f>SUMPRODUCT((Diário!$E$4:$E$2662='Analítico Cx.'!$B37)*(Diário!$B$4:$B$2662&gt;=F$4)*(Diário!$B$4:$B$2662&lt;=EOMONTH(F$4,0))*(Diário!$F$4:$F$2662))</f>
        <v>156119.42000000001</v>
      </c>
      <c r="G37" s="102">
        <f>SUMPRODUCT((Diário!$E$4:$E$2662='Analítico Cx.'!$B37)*(Diário!$B$4:$B$2662&gt;=G$4)*(Diário!$B$4:$B$2662&lt;=EOMONTH(G$4,0))*(Diário!$F$4:$F$2662))</f>
        <v>21.82</v>
      </c>
      <c r="H37" s="102">
        <f>SUMPRODUCT((Diário!$E$4:$E$2662='Analítico Cx.'!$B37)*(Diário!$B$4:$B$2662&gt;=H$4)*(Diário!$B$4:$B$2662&lt;=EOMONTH(H$4,0))*(Diário!$F$4:$F$2662))</f>
        <v>125151.50000000001</v>
      </c>
      <c r="I37" s="102">
        <f>SUMPRODUCT((Diário!$E$4:$E$2662='Analítico Cx.'!$B37)*(Diário!$B$4:$B$2662&gt;=I$4)*(Diário!$B$4:$B$2662&lt;=EOMONTH(I$4,0))*(Diário!$F$4:$F$2662))</f>
        <v>0</v>
      </c>
      <c r="J37" s="102">
        <f>SUMPRODUCT((Diário!$E$4:$E$2662='Analítico Cx.'!$B37)*(Diário!$B$4:$B$2662&gt;=J$4)*(Diário!$B$4:$B$2662&lt;=EOMONTH(J$4,0))*(Diário!$F$4:$F$2662))</f>
        <v>0</v>
      </c>
      <c r="K37" s="102">
        <f>SUMPRODUCT((Diário!$E$4:$E$2662='Analítico Cx.'!$B37)*(Diário!$B$4:$B$2662&gt;=K$4)*(Diário!$B$4:$B$2662&lt;=EOMONTH(K$4,0))*(Diário!$F$4:$F$2662))</f>
        <v>0</v>
      </c>
      <c r="L37" s="102">
        <f>SUMPRODUCT((Diário!$E$4:$E$2662='Analítico Cx.'!$B37)*(Diário!$B$4:$B$2662&gt;=L$4)*(Diário!$B$4:$B$2662&lt;=EOMONTH(L$4,0))*(Diário!$F$4:$F$2662))</f>
        <v>0</v>
      </c>
      <c r="M37" s="102">
        <f>SUMPRODUCT((Diário!$E$4:$E$2662='Analítico Cx.'!$B37)*(Diário!$B$4:$B$2662&gt;=M$4)*(Diário!$B$4:$B$2662&lt;=EOMONTH(M$4,0))*(Diário!$F$4:$F$2662))</f>
        <v>0</v>
      </c>
      <c r="N37" s="102">
        <f>SUMPRODUCT((Diário!$E$4:$E$2662='Analítico Cx.'!$B37)*(Diário!$B$4:$B$2662&gt;=N$4)*(Diário!$B$4:$B$2662&lt;=EOMONTH(N$4,0))*(Diário!$F$4:$F$2662))</f>
        <v>0</v>
      </c>
      <c r="O37" s="103">
        <f t="shared" si="9"/>
        <v>480609.15</v>
      </c>
      <c r="P37" s="95">
        <f t="shared" si="8"/>
        <v>2.4817020429803209E-2</v>
      </c>
    </row>
    <row r="38" spans="1:16" ht="23.25" customHeight="1">
      <c r="A38" s="40" t="s">
        <v>224</v>
      </c>
      <c r="B38" s="39" t="s">
        <v>246</v>
      </c>
      <c r="C38" s="102">
        <f>SUMPRODUCT((Diário!$E$4:$E$2662='Analítico Cx.'!$B38)*(Diário!$B$4:$B$2662&gt;=C$4)*(Diário!$B$4:$B$2662&lt;=EOMONTH(C$4,0))*(Diário!$F$4:$F$2662))</f>
        <v>478061.58</v>
      </c>
      <c r="D38" s="102">
        <f>SUMPRODUCT((Diário!$E$4:$E$2662='Analítico Cx.'!$B38)*(Diário!$B$4:$B$2662&gt;=D$4)*(Diário!$B$4:$B$2662&lt;=EOMONTH(D$4,0))*(Diário!$F$4:$F$2662))</f>
        <v>0</v>
      </c>
      <c r="E38" s="102">
        <f>SUMPRODUCT((Diário!$E$4:$E$2662='Analítico Cx.'!$B38)*(Diário!$B$4:$B$2662&gt;=E$4)*(Diário!$B$4:$B$2662&lt;=EOMONTH(E$4,0))*(Diário!$F$4:$F$2662))</f>
        <v>0</v>
      </c>
      <c r="F38" s="102">
        <f>SUMPRODUCT((Diário!$E$4:$E$2662='Analítico Cx.'!$B38)*(Diário!$B$4:$B$2662&gt;=F$4)*(Diário!$B$4:$B$2662&lt;=EOMONTH(F$4,0))*(Diário!$F$4:$F$2662))</f>
        <v>0</v>
      </c>
      <c r="G38" s="102">
        <f>SUMPRODUCT((Diário!$E$4:$E$2662='Analítico Cx.'!$B38)*(Diário!$B$4:$B$2662&gt;=G$4)*(Diário!$B$4:$B$2662&lt;=EOMONTH(G$4,0))*(Diário!$F$4:$F$2662))</f>
        <v>0</v>
      </c>
      <c r="H38" s="102">
        <f>SUMPRODUCT((Diário!$E$4:$E$2662='Analítico Cx.'!$B38)*(Diário!$B$4:$B$2662&gt;=H$4)*(Diário!$B$4:$B$2662&lt;=EOMONTH(H$4,0))*(Diário!$F$4:$F$2662))</f>
        <v>0</v>
      </c>
      <c r="I38" s="102">
        <f>SUMPRODUCT((Diário!$E$4:$E$2662='Analítico Cx.'!$B38)*(Diário!$B$4:$B$2662&gt;=I$4)*(Diário!$B$4:$B$2662&lt;=EOMONTH(I$4,0))*(Diário!$F$4:$F$2662))</f>
        <v>0</v>
      </c>
      <c r="J38" s="102">
        <f>SUMPRODUCT((Diário!$E$4:$E$2662='Analítico Cx.'!$B38)*(Diário!$B$4:$B$2662&gt;=J$4)*(Diário!$B$4:$B$2662&lt;=EOMONTH(J$4,0))*(Diário!$F$4:$F$2662))</f>
        <v>0</v>
      </c>
      <c r="K38" s="102">
        <f>SUMPRODUCT((Diário!$E$4:$E$2662='Analítico Cx.'!$B38)*(Diário!$B$4:$B$2662&gt;=K$4)*(Diário!$B$4:$B$2662&lt;=EOMONTH(K$4,0))*(Diário!$F$4:$F$2662))</f>
        <v>0</v>
      </c>
      <c r="L38" s="102">
        <f>SUMPRODUCT((Diário!$E$4:$E$2662='Analítico Cx.'!$B38)*(Diário!$B$4:$B$2662&gt;=L$4)*(Diário!$B$4:$B$2662&lt;=EOMONTH(L$4,0))*(Diário!$F$4:$F$2662))</f>
        <v>0</v>
      </c>
      <c r="M38" s="102">
        <f>SUMPRODUCT((Diário!$E$4:$E$2662='Analítico Cx.'!$B38)*(Diário!$B$4:$B$2662&gt;=M$4)*(Diário!$B$4:$B$2662&lt;=EOMONTH(M$4,0))*(Diário!$F$4:$F$2662))</f>
        <v>0</v>
      </c>
      <c r="N38" s="102">
        <f>SUMPRODUCT((Diário!$E$4:$E$2662='Analítico Cx.'!$B38)*(Diário!$B$4:$B$2662&gt;=N$4)*(Diário!$B$4:$B$2662&lt;=EOMONTH(N$4,0))*(Diário!$F$4:$F$2662))</f>
        <v>0</v>
      </c>
      <c r="O38" s="103">
        <f t="shared" si="9"/>
        <v>478061.58</v>
      </c>
      <c r="P38" s="95">
        <f t="shared" si="8"/>
        <v>2.468547258736959E-2</v>
      </c>
    </row>
    <row r="39" spans="1:16" ht="23.25" customHeight="1">
      <c r="A39" s="40" t="s">
        <v>225</v>
      </c>
      <c r="B39" s="39" t="s">
        <v>261</v>
      </c>
      <c r="C39" s="102">
        <f>SUMPRODUCT((Diário!$E$4:$E$2662='Analítico Cx.'!$B39)*(Diário!$B$4:$B$2662&gt;=C$4)*(Diário!$B$4:$B$2662&lt;=EOMONTH(C$4,0))*(Diário!$F$4:$F$2662))</f>
        <v>2653.25</v>
      </c>
      <c r="D39" s="102">
        <f>SUMPRODUCT((Diário!$E$4:$E$2662='Analítico Cx.'!$B39)*(Diário!$B$4:$B$2662&gt;=D$4)*(Diário!$B$4:$B$2662&lt;=EOMONTH(D$4,0))*(Diário!$F$4:$F$2662))</f>
        <v>18431</v>
      </c>
      <c r="E39" s="102">
        <f>SUMPRODUCT((Diário!$E$4:$E$2662='Analítico Cx.'!$B39)*(Diário!$B$4:$B$2662&gt;=E$4)*(Diário!$B$4:$B$2662&lt;=EOMONTH(E$4,0))*(Diário!$F$4:$F$2662))</f>
        <v>11717.699999999999</v>
      </c>
      <c r="F39" s="102">
        <f>SUMPRODUCT((Diário!$E$4:$E$2662='Analítico Cx.'!$B39)*(Diário!$B$4:$B$2662&gt;=F$4)*(Diário!$B$4:$B$2662&lt;=EOMONTH(F$4,0))*(Diário!$F$4:$F$2662))</f>
        <v>14557.57</v>
      </c>
      <c r="G39" s="102">
        <f>SUMPRODUCT((Diário!$E$4:$E$2662='Analítico Cx.'!$B39)*(Diário!$B$4:$B$2662&gt;=G$4)*(Diário!$B$4:$B$2662&lt;=EOMONTH(G$4,0))*(Diário!$F$4:$F$2662))</f>
        <v>18829.080000000002</v>
      </c>
      <c r="H39" s="102">
        <f>SUMPRODUCT((Diário!$E$4:$E$2662='Analítico Cx.'!$B39)*(Diário!$B$4:$B$2662&gt;=H$4)*(Diário!$B$4:$B$2662&lt;=EOMONTH(H$4,0))*(Diário!$F$4:$F$2662))</f>
        <v>38323.759999999995</v>
      </c>
      <c r="I39" s="102">
        <f>SUMPRODUCT((Diário!$E$4:$E$2662='Analítico Cx.'!$B39)*(Diário!$B$4:$B$2662&gt;=I$4)*(Diário!$B$4:$B$2662&lt;=EOMONTH(I$4,0))*(Diário!$F$4:$F$2662))</f>
        <v>0</v>
      </c>
      <c r="J39" s="102">
        <f>SUMPRODUCT((Diário!$E$4:$E$2662='Analítico Cx.'!$B39)*(Diário!$B$4:$B$2662&gt;=J$4)*(Diário!$B$4:$B$2662&lt;=EOMONTH(J$4,0))*(Diário!$F$4:$F$2662))</f>
        <v>0</v>
      </c>
      <c r="K39" s="102">
        <f>SUMPRODUCT((Diário!$E$4:$E$2662='Analítico Cx.'!$B39)*(Diário!$B$4:$B$2662&gt;=K$4)*(Diário!$B$4:$B$2662&lt;=EOMONTH(K$4,0))*(Diário!$F$4:$F$2662))</f>
        <v>0</v>
      </c>
      <c r="L39" s="102">
        <f>SUMPRODUCT((Diário!$E$4:$E$2662='Analítico Cx.'!$B39)*(Diário!$B$4:$B$2662&gt;=L$4)*(Diário!$B$4:$B$2662&lt;=EOMONTH(L$4,0))*(Diário!$F$4:$F$2662))</f>
        <v>0</v>
      </c>
      <c r="M39" s="102">
        <f>SUMPRODUCT((Diário!$E$4:$E$2662='Analítico Cx.'!$B39)*(Diário!$B$4:$B$2662&gt;=M$4)*(Diário!$B$4:$B$2662&lt;=EOMONTH(M$4,0))*(Diário!$F$4:$F$2662))</f>
        <v>0</v>
      </c>
      <c r="N39" s="102">
        <f>SUMPRODUCT((Diário!$E$4:$E$2662='Analítico Cx.'!$B39)*(Diário!$B$4:$B$2662&gt;=N$4)*(Diário!$B$4:$B$2662&lt;=EOMONTH(N$4,0))*(Diário!$F$4:$F$2662))</f>
        <v>0</v>
      </c>
      <c r="O39" s="103">
        <f t="shared" si="9"/>
        <v>104512.36</v>
      </c>
      <c r="P39" s="95">
        <f t="shared" si="8"/>
        <v>5.3966624923536049E-3</v>
      </c>
    </row>
    <row r="40" spans="1:16" ht="23.25" customHeight="1">
      <c r="A40" s="40" t="s">
        <v>226</v>
      </c>
      <c r="B40" s="39" t="s">
        <v>247</v>
      </c>
      <c r="C40" s="102">
        <f>SUMPRODUCT((Diário!$E$4:$E$2662='Analítico Cx.'!$B40)*(Diário!$B$4:$B$2662&gt;=C$4)*(Diário!$B$4:$B$2662&lt;=EOMONTH(C$4,0))*(Diário!$F$4:$F$2662))</f>
        <v>0</v>
      </c>
      <c r="D40" s="102">
        <f>SUMPRODUCT((Diário!$E$4:$E$2662='Analítico Cx.'!$B40)*(Diário!$B$4:$B$2662&gt;=D$4)*(Diário!$B$4:$B$2662&lt;=EOMONTH(D$4,0))*(Diário!$F$4:$F$2662))</f>
        <v>0</v>
      </c>
      <c r="E40" s="102">
        <f>SUMPRODUCT((Diário!$E$4:$E$2662='Analítico Cx.'!$B40)*(Diário!$B$4:$B$2662&gt;=E$4)*(Diário!$B$4:$B$2662&lt;=EOMONTH(E$4,0))*(Diário!$F$4:$F$2662))</f>
        <v>0</v>
      </c>
      <c r="F40" s="102">
        <f>SUMPRODUCT((Diário!$E$4:$E$2662='Analítico Cx.'!$B40)*(Diário!$B$4:$B$2662&gt;=F$4)*(Diário!$B$4:$B$2662&lt;=EOMONTH(F$4,0))*(Diário!$F$4:$F$2662))</f>
        <v>0</v>
      </c>
      <c r="G40" s="102">
        <f>SUMPRODUCT((Diário!$E$4:$E$2662='Analítico Cx.'!$B40)*(Diário!$B$4:$B$2662&gt;=G$4)*(Diário!$B$4:$B$2662&lt;=EOMONTH(G$4,0))*(Diário!$F$4:$F$2662))</f>
        <v>0</v>
      </c>
      <c r="H40" s="102">
        <f>SUMPRODUCT((Diário!$E$4:$E$2662='Analítico Cx.'!$B40)*(Diário!$B$4:$B$2662&gt;=H$4)*(Diário!$B$4:$B$2662&lt;=EOMONTH(H$4,0))*(Diário!$F$4:$F$2662))</f>
        <v>0</v>
      </c>
      <c r="I40" s="102">
        <f>SUMPRODUCT((Diário!$E$4:$E$2662='Analítico Cx.'!$B40)*(Diário!$B$4:$B$2662&gt;=I$4)*(Diário!$B$4:$B$2662&lt;=EOMONTH(I$4,0))*(Diário!$F$4:$F$2662))</f>
        <v>0</v>
      </c>
      <c r="J40" s="102">
        <f>SUMPRODUCT((Diário!$E$4:$E$2662='Analítico Cx.'!$B40)*(Diário!$B$4:$B$2662&gt;=J$4)*(Diário!$B$4:$B$2662&lt;=EOMONTH(J$4,0))*(Diário!$F$4:$F$2662))</f>
        <v>0</v>
      </c>
      <c r="K40" s="102">
        <f>SUMPRODUCT((Diário!$E$4:$E$2662='Analítico Cx.'!$B40)*(Diário!$B$4:$B$2662&gt;=K$4)*(Diário!$B$4:$B$2662&lt;=EOMONTH(K$4,0))*(Diário!$F$4:$F$2662))</f>
        <v>0</v>
      </c>
      <c r="L40" s="102">
        <f>SUMPRODUCT((Diário!$E$4:$E$2662='Analítico Cx.'!$B40)*(Diário!$B$4:$B$2662&gt;=L$4)*(Diário!$B$4:$B$2662&lt;=EOMONTH(L$4,0))*(Diário!$F$4:$F$2662))</f>
        <v>0</v>
      </c>
      <c r="M40" s="102">
        <f>SUMPRODUCT((Diário!$E$4:$E$2662='Analítico Cx.'!$B40)*(Diário!$B$4:$B$2662&gt;=M$4)*(Diário!$B$4:$B$2662&lt;=EOMONTH(M$4,0))*(Diário!$F$4:$F$2662))</f>
        <v>0</v>
      </c>
      <c r="N40" s="102">
        <f>SUMPRODUCT((Diário!$E$4:$E$2662='Analítico Cx.'!$B40)*(Diário!$B$4:$B$2662&gt;=N$4)*(Diário!$B$4:$B$2662&lt;=EOMONTH(N$4,0))*(Diário!$F$4:$F$2662))</f>
        <v>0</v>
      </c>
      <c r="O40" s="103">
        <f t="shared" si="9"/>
        <v>0</v>
      </c>
      <c r="P40" s="95">
        <f t="shared" si="8"/>
        <v>0</v>
      </c>
    </row>
    <row r="41" spans="1:16" ht="23.25" customHeight="1">
      <c r="A41" s="40" t="s">
        <v>227</v>
      </c>
      <c r="B41" s="39" t="s">
        <v>452</v>
      </c>
      <c r="C41" s="102">
        <f>SUMPRODUCT((Diário!$E$4:$E$2662='Analítico Cx.'!$B41)*(Diário!$B$4:$B$2662&gt;=C$4)*(Diário!$B$4:$B$2662&lt;=EOMONTH(C$4,0))*(Diário!$F$4:$F$2662))</f>
        <v>160281.86000000002</v>
      </c>
      <c r="D41" s="102">
        <f>SUMPRODUCT((Diário!$E$4:$E$2662='Analítico Cx.'!$B41)*(Diário!$B$4:$B$2662&gt;=D$4)*(Diário!$B$4:$B$2662&lt;=EOMONTH(D$4,0))*(Diário!$F$4:$F$2662))</f>
        <v>0</v>
      </c>
      <c r="E41" s="102">
        <f>SUMPRODUCT((Diário!$E$4:$E$2662='Analítico Cx.'!$B41)*(Diário!$B$4:$B$2662&gt;=E$4)*(Diário!$B$4:$B$2662&lt;=EOMONTH(E$4,0))*(Diário!$F$4:$F$2662))</f>
        <v>6871</v>
      </c>
      <c r="F41" s="102">
        <f>SUMPRODUCT((Diário!$E$4:$E$2662='Analítico Cx.'!$B41)*(Diário!$B$4:$B$2662&gt;=F$4)*(Diário!$B$4:$B$2662&lt;=EOMONTH(F$4,0))*(Diário!$F$4:$F$2662))</f>
        <v>111592.76999999999</v>
      </c>
      <c r="G41" s="102">
        <f>SUMPRODUCT((Diário!$E$4:$E$2662='Analítico Cx.'!$B41)*(Diário!$B$4:$B$2662&gt;=G$4)*(Diário!$B$4:$B$2662&lt;=EOMONTH(G$4,0))*(Diário!$F$4:$F$2662))</f>
        <v>2008.91</v>
      </c>
      <c r="H41" s="102">
        <f>SUMPRODUCT((Diário!$E$4:$E$2662='Analítico Cx.'!$B41)*(Diário!$B$4:$B$2662&gt;=H$4)*(Diário!$B$4:$B$2662&lt;=EOMONTH(H$4,0))*(Diário!$F$4:$F$2662))</f>
        <v>129965.41</v>
      </c>
      <c r="I41" s="102">
        <f>SUMPRODUCT((Diário!$E$4:$E$2662='Analítico Cx.'!$B41)*(Diário!$B$4:$B$2662&gt;=I$4)*(Diário!$B$4:$B$2662&lt;=EOMONTH(I$4,0))*(Diário!$F$4:$F$2662))</f>
        <v>0</v>
      </c>
      <c r="J41" s="102">
        <f>SUMPRODUCT((Diário!$E$4:$E$2662='Analítico Cx.'!$B41)*(Diário!$B$4:$B$2662&gt;=J$4)*(Diário!$B$4:$B$2662&lt;=EOMONTH(J$4,0))*(Diário!$F$4:$F$2662))</f>
        <v>0</v>
      </c>
      <c r="K41" s="102">
        <f>SUMPRODUCT((Diário!$E$4:$E$2662='Analítico Cx.'!$B41)*(Diário!$B$4:$B$2662&gt;=K$4)*(Diário!$B$4:$B$2662&lt;=EOMONTH(K$4,0))*(Diário!$F$4:$F$2662))</f>
        <v>0</v>
      </c>
      <c r="L41" s="102">
        <f>SUMPRODUCT((Diário!$E$4:$E$2662='Analítico Cx.'!$B41)*(Diário!$B$4:$B$2662&gt;=L$4)*(Diário!$B$4:$B$2662&lt;=EOMONTH(L$4,0))*(Diário!$F$4:$F$2662))</f>
        <v>0</v>
      </c>
      <c r="M41" s="102">
        <f>SUMPRODUCT((Diário!$E$4:$E$2662='Analítico Cx.'!$B41)*(Diário!$B$4:$B$2662&gt;=M$4)*(Diário!$B$4:$B$2662&lt;=EOMONTH(M$4,0))*(Diário!$F$4:$F$2662))</f>
        <v>0</v>
      </c>
      <c r="N41" s="102">
        <f>SUMPRODUCT((Diário!$E$4:$E$2662='Analítico Cx.'!$B41)*(Diário!$B$4:$B$2662&gt;=N$4)*(Diário!$B$4:$B$2662&lt;=EOMONTH(N$4,0))*(Diário!$F$4:$F$2662))</f>
        <v>0</v>
      </c>
      <c r="O41" s="103">
        <f t="shared" si="9"/>
        <v>410719.94999999995</v>
      </c>
      <c r="P41" s="95">
        <f t="shared" si="8"/>
        <v>2.1208180056658827E-2</v>
      </c>
    </row>
    <row r="42" spans="1:16" ht="23.25" customHeight="1">
      <c r="A42" s="40" t="s">
        <v>228</v>
      </c>
      <c r="B42" s="39" t="s">
        <v>163</v>
      </c>
      <c r="C42" s="102">
        <f>SUMPRODUCT((Diário!$E$4:$E$2662='Analítico Cx.'!$B42)*(Diário!$B$4:$B$2662&gt;=C$4)*(Diário!$B$4:$B$2662&lt;=EOMONTH(C$4,0))*(Diário!$F$4:$F$2662))</f>
        <v>1346.1899999999998</v>
      </c>
      <c r="D42" s="102">
        <f>SUMPRODUCT((Diário!$E$4:$E$2662='Analítico Cx.'!$B42)*(Diário!$B$4:$B$2662&gt;=D$4)*(Diário!$B$4:$B$2662&lt;=EOMONTH(D$4,0))*(Diário!$F$4:$F$2662))</f>
        <v>1355.3</v>
      </c>
      <c r="E42" s="102">
        <f>SUMPRODUCT((Diário!$E$4:$E$2662='Analítico Cx.'!$B42)*(Diário!$B$4:$B$2662&gt;=E$4)*(Diário!$B$4:$B$2662&lt;=EOMONTH(E$4,0))*(Diário!$F$4:$F$2662))</f>
        <v>1353.8000000000002</v>
      </c>
      <c r="F42" s="102">
        <f>SUMPRODUCT((Diário!$E$4:$E$2662='Analítico Cx.'!$B42)*(Diário!$B$4:$B$2662&gt;=F$4)*(Diário!$B$4:$B$2662&lt;=EOMONTH(F$4,0))*(Diário!$F$4:$F$2662))</f>
        <v>490.33999999999992</v>
      </c>
      <c r="G42" s="102">
        <f>SUMPRODUCT((Diário!$E$4:$E$2662='Analítico Cx.'!$B42)*(Diário!$B$4:$B$2662&gt;=G$4)*(Diário!$B$4:$B$2662&lt;=EOMONTH(G$4,0))*(Diário!$F$4:$F$2662))</f>
        <v>2144.6899999999996</v>
      </c>
      <c r="H42" s="102">
        <f>SUMPRODUCT((Diário!$E$4:$E$2662='Analítico Cx.'!$B42)*(Diário!$B$4:$B$2662&gt;=H$4)*(Diário!$B$4:$B$2662&lt;=EOMONTH(H$4,0))*(Diário!$F$4:$F$2662))</f>
        <v>2054.33</v>
      </c>
      <c r="I42" s="102">
        <f>SUMPRODUCT((Diário!$E$4:$E$2662='Analítico Cx.'!$B42)*(Diário!$B$4:$B$2662&gt;=I$4)*(Diário!$B$4:$B$2662&lt;=EOMONTH(I$4,0))*(Diário!$F$4:$F$2662))</f>
        <v>0</v>
      </c>
      <c r="J42" s="102">
        <f>SUMPRODUCT((Diário!$E$4:$E$2662='Analítico Cx.'!$B42)*(Diário!$B$4:$B$2662&gt;=J$4)*(Diário!$B$4:$B$2662&lt;=EOMONTH(J$4,0))*(Diário!$F$4:$F$2662))</f>
        <v>0</v>
      </c>
      <c r="K42" s="102">
        <f>SUMPRODUCT((Diário!$E$4:$E$2662='Analítico Cx.'!$B42)*(Diário!$B$4:$B$2662&gt;=K$4)*(Diário!$B$4:$B$2662&lt;=EOMONTH(K$4,0))*(Diário!$F$4:$F$2662))</f>
        <v>0</v>
      </c>
      <c r="L42" s="102">
        <f>SUMPRODUCT((Diário!$E$4:$E$2662='Analítico Cx.'!$B42)*(Diário!$B$4:$B$2662&gt;=L$4)*(Diário!$B$4:$B$2662&lt;=EOMONTH(L$4,0))*(Diário!$F$4:$F$2662))</f>
        <v>0</v>
      </c>
      <c r="M42" s="102">
        <f>SUMPRODUCT((Diário!$E$4:$E$2662='Analítico Cx.'!$B42)*(Diário!$B$4:$B$2662&gt;=M$4)*(Diário!$B$4:$B$2662&lt;=EOMONTH(M$4,0))*(Diário!$F$4:$F$2662))</f>
        <v>0</v>
      </c>
      <c r="N42" s="102">
        <f>SUMPRODUCT((Diário!$E$4:$E$2662='Analítico Cx.'!$B42)*(Diário!$B$4:$B$2662&gt;=N$4)*(Diário!$B$4:$B$2662&lt;=EOMONTH(N$4,0))*(Diário!$F$4:$F$2662))</f>
        <v>0</v>
      </c>
      <c r="O42" s="103">
        <f t="shared" si="9"/>
        <v>8744.65</v>
      </c>
      <c r="P42" s="95">
        <f t="shared" si="8"/>
        <v>4.5154395770758549E-4</v>
      </c>
    </row>
    <row r="43" spans="1:16" ht="23.25" customHeight="1">
      <c r="A43" s="40" t="s">
        <v>229</v>
      </c>
      <c r="B43" s="39" t="s">
        <v>160</v>
      </c>
      <c r="C43" s="102">
        <f>SUMPRODUCT((Diário!$E$4:$E$2662='Analítico Cx.'!$B43)*(Diário!$B$4:$B$2662&gt;=C$4)*(Diário!$B$4:$B$2662&lt;=EOMONTH(C$4,0))*(Diário!$F$4:$F$2662))</f>
        <v>0</v>
      </c>
      <c r="D43" s="102">
        <f>SUMPRODUCT((Diário!$E$4:$E$2662='Analítico Cx.'!$B43)*(Diário!$B$4:$B$2662&gt;=D$4)*(Diário!$B$4:$B$2662&lt;=EOMONTH(D$4,0))*(Diário!$F$4:$F$2662))</f>
        <v>0</v>
      </c>
      <c r="E43" s="102">
        <f>SUMPRODUCT((Diário!$E$4:$E$2662='Analítico Cx.'!$B43)*(Diário!$B$4:$B$2662&gt;=E$4)*(Diário!$B$4:$B$2662&lt;=EOMONTH(E$4,0))*(Diário!$F$4:$F$2662))</f>
        <v>0</v>
      </c>
      <c r="F43" s="102">
        <f>SUMPRODUCT((Diário!$E$4:$E$2662='Analítico Cx.'!$B43)*(Diário!$B$4:$B$2662&gt;=F$4)*(Diário!$B$4:$B$2662&lt;=EOMONTH(F$4,0))*(Diário!$F$4:$F$2662))</f>
        <v>17068.760000000002</v>
      </c>
      <c r="G43" s="102">
        <f>SUMPRODUCT((Diário!$E$4:$E$2662='Analítico Cx.'!$B43)*(Diário!$B$4:$B$2662&gt;=G$4)*(Diário!$B$4:$B$2662&lt;=EOMONTH(G$4,0))*(Diário!$F$4:$F$2662))</f>
        <v>0</v>
      </c>
      <c r="H43" s="102">
        <f>SUMPRODUCT((Diário!$E$4:$E$2662='Analítico Cx.'!$B43)*(Diário!$B$4:$B$2662&gt;=H$4)*(Diário!$B$4:$B$2662&lt;=EOMONTH(H$4,0))*(Diário!$F$4:$F$2662))</f>
        <v>318.83999999999997</v>
      </c>
      <c r="I43" s="102">
        <f>SUMPRODUCT((Diário!$E$4:$E$2662='Analítico Cx.'!$B43)*(Diário!$B$4:$B$2662&gt;=I$4)*(Diário!$B$4:$B$2662&lt;=EOMONTH(I$4,0))*(Diário!$F$4:$F$2662))</f>
        <v>0</v>
      </c>
      <c r="J43" s="102">
        <f>SUMPRODUCT((Diário!$E$4:$E$2662='Analítico Cx.'!$B43)*(Diário!$B$4:$B$2662&gt;=J$4)*(Diário!$B$4:$B$2662&lt;=EOMONTH(J$4,0))*(Diário!$F$4:$F$2662))</f>
        <v>0</v>
      </c>
      <c r="K43" s="102">
        <f>SUMPRODUCT((Diário!$E$4:$E$2662='Analítico Cx.'!$B43)*(Diário!$B$4:$B$2662&gt;=K$4)*(Diário!$B$4:$B$2662&lt;=EOMONTH(K$4,0))*(Diário!$F$4:$F$2662))</f>
        <v>0</v>
      </c>
      <c r="L43" s="102">
        <f>SUMPRODUCT((Diário!$E$4:$E$2662='Analítico Cx.'!$B43)*(Diário!$B$4:$B$2662&gt;=L$4)*(Diário!$B$4:$B$2662&lt;=EOMONTH(L$4,0))*(Diário!$F$4:$F$2662))</f>
        <v>0</v>
      </c>
      <c r="M43" s="102">
        <f>SUMPRODUCT((Diário!$E$4:$E$2662='Analítico Cx.'!$B43)*(Diário!$B$4:$B$2662&gt;=M$4)*(Diário!$B$4:$B$2662&lt;=EOMONTH(M$4,0))*(Diário!$F$4:$F$2662))</f>
        <v>0</v>
      </c>
      <c r="N43" s="102">
        <f>SUMPRODUCT((Diário!$E$4:$E$2662='Analítico Cx.'!$B43)*(Diário!$B$4:$B$2662&gt;=N$4)*(Diário!$B$4:$B$2662&lt;=EOMONTH(N$4,0))*(Diário!$F$4:$F$2662))</f>
        <v>0</v>
      </c>
      <c r="O43" s="103">
        <f t="shared" si="9"/>
        <v>17387.600000000002</v>
      </c>
      <c r="P43" s="95">
        <f t="shared" si="8"/>
        <v>8.9783647361946044E-4</v>
      </c>
    </row>
    <row r="44" spans="1:16" s="21" customFormat="1" ht="23.25" customHeight="1">
      <c r="A44" s="40" t="s">
        <v>230</v>
      </c>
      <c r="B44" s="38" t="s">
        <v>267</v>
      </c>
      <c r="C44" s="102">
        <f>SUMPRODUCT((Diário!$E$4:$E$2662='Analítico Cx.'!$B44)*(Diário!$B$4:$B$2662&gt;=C$4)*(Diário!$B$4:$B$2662&lt;=EOMONTH(C$4,0))*(Diário!$F$4:$F$2662))</f>
        <v>0</v>
      </c>
      <c r="D44" s="102">
        <f>SUMPRODUCT((Diário!$E$4:$E$2662='Analítico Cx.'!$B44)*(Diário!$B$4:$B$2662&gt;=D$4)*(Diário!$B$4:$B$2662&lt;=EOMONTH(D$4,0))*(Diário!$F$4:$F$2662))</f>
        <v>0</v>
      </c>
      <c r="E44" s="102">
        <f>SUMPRODUCT((Diário!$E$4:$E$2662='Analítico Cx.'!$B44)*(Diário!$B$4:$B$2662&gt;=E$4)*(Diário!$B$4:$B$2662&lt;=EOMONTH(E$4,0))*(Diário!$F$4:$F$2662))</f>
        <v>0</v>
      </c>
      <c r="F44" s="102">
        <f>SUMPRODUCT((Diário!$E$4:$E$2662='Analítico Cx.'!$B44)*(Diário!$B$4:$B$2662&gt;=F$4)*(Diário!$B$4:$B$2662&lt;=EOMONTH(F$4,0))*(Diário!$F$4:$F$2662))</f>
        <v>0</v>
      </c>
      <c r="G44" s="102">
        <f>SUMPRODUCT((Diário!$E$4:$E$2662='Analítico Cx.'!$B44)*(Diário!$B$4:$B$2662&gt;=G$4)*(Diário!$B$4:$B$2662&lt;=EOMONTH(G$4,0))*(Diário!$F$4:$F$2662))</f>
        <v>0</v>
      </c>
      <c r="H44" s="102">
        <f>SUMPRODUCT((Diário!$E$4:$E$2662='Analítico Cx.'!$B44)*(Diário!$B$4:$B$2662&gt;=H$4)*(Diário!$B$4:$B$2662&lt;=EOMONTH(H$4,0))*(Diário!$F$4:$F$2662))</f>
        <v>0</v>
      </c>
      <c r="I44" s="102">
        <f>SUMPRODUCT((Diário!$E$4:$E$2662='Analítico Cx.'!$B44)*(Diário!$B$4:$B$2662&gt;=I$4)*(Diário!$B$4:$B$2662&lt;=EOMONTH(I$4,0))*(Diário!$F$4:$F$2662))</f>
        <v>0</v>
      </c>
      <c r="J44" s="102">
        <f>SUMPRODUCT((Diário!$E$4:$E$2662='Analítico Cx.'!$B44)*(Diário!$B$4:$B$2662&gt;=J$4)*(Diário!$B$4:$B$2662&lt;=EOMONTH(J$4,0))*(Diário!$F$4:$F$2662))</f>
        <v>0</v>
      </c>
      <c r="K44" s="102">
        <f>SUMPRODUCT((Diário!$E$4:$E$2662='Analítico Cx.'!$B44)*(Diário!$B$4:$B$2662&gt;=K$4)*(Diário!$B$4:$B$2662&lt;=EOMONTH(K$4,0))*(Diário!$F$4:$F$2662))</f>
        <v>0</v>
      </c>
      <c r="L44" s="102">
        <f>SUMPRODUCT((Diário!$E$4:$E$2662='Analítico Cx.'!$B44)*(Diário!$B$4:$B$2662&gt;=L$4)*(Diário!$B$4:$B$2662&lt;=EOMONTH(L$4,0))*(Diário!$F$4:$F$2662))</f>
        <v>0</v>
      </c>
      <c r="M44" s="102">
        <f>SUMPRODUCT((Diário!$E$4:$E$2662='Analítico Cx.'!$B44)*(Diário!$B$4:$B$2662&gt;=M$4)*(Diário!$B$4:$B$2662&lt;=EOMONTH(M$4,0))*(Diário!$F$4:$F$2662))</f>
        <v>0</v>
      </c>
      <c r="N44" s="102">
        <f>SUMPRODUCT((Diário!$E$4:$E$2662='Analítico Cx.'!$B44)*(Diário!$B$4:$B$2662&gt;=N$4)*(Diário!$B$4:$B$2662&lt;=EOMONTH(N$4,0))*(Diário!$F$4:$F$2662))</f>
        <v>0</v>
      </c>
      <c r="O44" s="103">
        <f t="shared" si="9"/>
        <v>0</v>
      </c>
      <c r="P44" s="95">
        <f t="shared" si="8"/>
        <v>0</v>
      </c>
    </row>
    <row r="45" spans="1:16" ht="23.25" customHeight="1">
      <c r="A45" s="17"/>
      <c r="B45" s="18" t="s">
        <v>102</v>
      </c>
      <c r="C45" s="104">
        <f t="shared" ref="C45:O45" si="10">SUBTOTAL(109,C34:C44)</f>
        <v>1471555.86</v>
      </c>
      <c r="D45" s="104">
        <f t="shared" si="10"/>
        <v>724208.72</v>
      </c>
      <c r="E45" s="104">
        <f t="shared" si="10"/>
        <v>596194.62</v>
      </c>
      <c r="F45" s="104">
        <f t="shared" si="10"/>
        <v>880905.45</v>
      </c>
      <c r="G45" s="104">
        <f t="shared" si="10"/>
        <v>607141.42999999993</v>
      </c>
      <c r="H45" s="104">
        <f t="shared" si="10"/>
        <v>882190.85999999987</v>
      </c>
      <c r="I45" s="104">
        <f t="shared" si="10"/>
        <v>0</v>
      </c>
      <c r="J45" s="104">
        <f t="shared" si="10"/>
        <v>0</v>
      </c>
      <c r="K45" s="104">
        <f t="shared" si="10"/>
        <v>0</v>
      </c>
      <c r="L45" s="104">
        <f t="shared" si="10"/>
        <v>0</v>
      </c>
      <c r="M45" s="104">
        <f t="shared" si="10"/>
        <v>0</v>
      </c>
      <c r="N45" s="104">
        <f t="shared" si="10"/>
        <v>0</v>
      </c>
      <c r="O45" s="104">
        <f t="shared" si="10"/>
        <v>5162196.9400000004</v>
      </c>
      <c r="P45" s="97">
        <f t="shared" si="8"/>
        <v>0.26655827697547502</v>
      </c>
    </row>
    <row r="46" spans="1:16" ht="23.25" customHeight="1">
      <c r="A46" s="203" t="s">
        <v>14</v>
      </c>
      <c r="B46" s="219" t="s">
        <v>37</v>
      </c>
      <c r="C46" s="221"/>
      <c r="D46" s="221"/>
      <c r="E46" s="221"/>
      <c r="F46" s="221"/>
      <c r="G46" s="221"/>
      <c r="H46" s="221"/>
      <c r="I46" s="221"/>
      <c r="J46" s="221"/>
      <c r="K46" s="221"/>
      <c r="L46" s="221"/>
      <c r="M46" s="221"/>
      <c r="N46" s="221"/>
      <c r="O46" s="221"/>
      <c r="P46" s="204">
        <f t="shared" si="8"/>
        <v>0</v>
      </c>
    </row>
    <row r="47" spans="1:16" ht="23.25" customHeight="1">
      <c r="A47" s="202" t="s">
        <v>97</v>
      </c>
      <c r="B47" s="39" t="s">
        <v>148</v>
      </c>
      <c r="C47" s="102">
        <f>SUMPRODUCT((Diário!$E$4:$E$2662='Analítico Cx.'!$B47)*(Diário!$B$4:$B$2662&gt;=C$4)*(Diário!$B$4:$B$2662&lt;=EOMONTH(C$4,0))*(Diário!$F$4:$F$2662))</f>
        <v>4615.75</v>
      </c>
      <c r="D47" s="102">
        <f>SUMPRODUCT((Diário!$E$4:$E$2662='Analítico Cx.'!$B47)*(Diário!$B$4:$B$2662&gt;=D$4)*(Diário!$B$4:$B$2662&lt;=EOMONTH(D$4,0))*(Diário!$F$4:$F$2662))</f>
        <v>7478.8700000000008</v>
      </c>
      <c r="E47" s="102">
        <f>SUMPRODUCT((Diário!$E$4:$E$2662='Analítico Cx.'!$B47)*(Diário!$B$4:$B$2662&gt;=E$4)*(Diário!$B$4:$B$2662&lt;=EOMONTH(E$4,0))*(Diário!$F$4:$F$2662))</f>
        <v>5830.4699999999993</v>
      </c>
      <c r="F47" s="102">
        <f>SUMPRODUCT((Diário!$E$4:$E$2662='Analítico Cx.'!$B47)*(Diário!$B$4:$B$2662&gt;=F$4)*(Diário!$B$4:$B$2662&lt;=EOMONTH(F$4,0))*(Diário!$F$4:$F$2662))</f>
        <v>5979.03</v>
      </c>
      <c r="G47" s="102">
        <f>SUMPRODUCT((Diário!$E$4:$E$2662='Analítico Cx.'!$B47)*(Diário!$B$4:$B$2662&gt;=G$4)*(Diário!$B$4:$B$2662&lt;=EOMONTH(G$4,0))*(Diário!$F$4:$F$2662))</f>
        <v>6312.6</v>
      </c>
      <c r="H47" s="102">
        <f>SUMPRODUCT((Diário!$E$4:$E$2662='Analítico Cx.'!$B47)*(Diário!$B$4:$B$2662&gt;=H$4)*(Diário!$B$4:$B$2662&lt;=EOMONTH(H$4,0))*(Diário!$F$4:$F$2662))</f>
        <v>7510.24</v>
      </c>
      <c r="I47" s="102">
        <f>SUMPRODUCT((Diário!$E$4:$E$2662='Analítico Cx.'!$B47)*(Diário!$B$4:$B$2662&gt;=I$4)*(Diário!$B$4:$B$2662&lt;=EOMONTH(I$4,0))*(Diário!$F$4:$F$2662))</f>
        <v>0</v>
      </c>
      <c r="J47" s="102">
        <f>SUMPRODUCT((Diário!$E$4:$E$2662='Analítico Cx.'!$B47)*(Diário!$B$4:$B$2662&gt;=J$4)*(Diário!$B$4:$B$2662&lt;=EOMONTH(J$4,0))*(Diário!$F$4:$F$2662))</f>
        <v>0</v>
      </c>
      <c r="K47" s="102">
        <f>SUMPRODUCT((Diário!$E$4:$E$2662='Analítico Cx.'!$B47)*(Diário!$B$4:$B$2662&gt;=K$4)*(Diário!$B$4:$B$2662&lt;=EOMONTH(K$4,0))*(Diário!$F$4:$F$2662))</f>
        <v>0</v>
      </c>
      <c r="L47" s="102">
        <f>SUMPRODUCT((Diário!$E$4:$E$2662='Analítico Cx.'!$B47)*(Diário!$B$4:$B$2662&gt;=L$4)*(Diário!$B$4:$B$2662&lt;=EOMONTH(L$4,0))*(Diário!$F$4:$F$2662))</f>
        <v>0</v>
      </c>
      <c r="M47" s="102">
        <f>SUMPRODUCT((Diário!$E$4:$E$2662='Analítico Cx.'!$B47)*(Diário!$B$4:$B$2662&gt;=M$4)*(Diário!$B$4:$B$2662&lt;=EOMONTH(M$4,0))*(Diário!$F$4:$F$2662))</f>
        <v>0</v>
      </c>
      <c r="N47" s="102">
        <f>SUMPRODUCT((Diário!$E$4:$E$2662='Analítico Cx.'!$B47)*(Diário!$B$4:$B$2662&gt;=N$4)*(Diário!$B$4:$B$2662&lt;=EOMONTH(N$4,0))*(Diário!$F$4:$F$2662))</f>
        <v>0</v>
      </c>
      <c r="O47" s="103">
        <f>SUM(C47:N47)</f>
        <v>37726.959999999999</v>
      </c>
      <c r="P47" s="95">
        <f t="shared" si="8"/>
        <v>1.9480917853402673E-3</v>
      </c>
    </row>
    <row r="48" spans="1:16" ht="23.25" customHeight="1">
      <c r="A48" s="202" t="s">
        <v>98</v>
      </c>
      <c r="B48" s="39" t="s">
        <v>6</v>
      </c>
      <c r="C48" s="102">
        <f>SUMPRODUCT((Diário!$E$4:$E$2662='Analítico Cx.'!$B48)*(Diário!$B$4:$B$2662&gt;=C$4)*(Diário!$B$4:$B$2662&lt;=EOMONTH(C$4,0))*(Diário!$F$4:$F$2662))</f>
        <v>136483.16</v>
      </c>
      <c r="D48" s="102">
        <f>SUMPRODUCT((Diário!$E$4:$E$2662='Analítico Cx.'!$B48)*(Diário!$B$4:$B$2662&gt;=D$4)*(Diário!$B$4:$B$2662&lt;=EOMONTH(D$4,0))*(Diário!$F$4:$F$2662))</f>
        <v>132253.56</v>
      </c>
      <c r="E48" s="102">
        <f>SUMPRODUCT((Diário!$E$4:$E$2662='Analítico Cx.'!$B48)*(Diário!$B$4:$B$2662&gt;=E$4)*(Diário!$B$4:$B$2662&lt;=EOMONTH(E$4,0))*(Diário!$F$4:$F$2662))</f>
        <v>135358.40000000002</v>
      </c>
      <c r="F48" s="102">
        <f>SUMPRODUCT((Diário!$E$4:$E$2662='Analítico Cx.'!$B48)*(Diário!$B$4:$B$2662&gt;=F$4)*(Diário!$B$4:$B$2662&lt;=EOMONTH(F$4,0))*(Diário!$F$4:$F$2662))</f>
        <v>132571</v>
      </c>
      <c r="G48" s="102">
        <f>SUMPRODUCT((Diário!$E$4:$E$2662='Analítico Cx.'!$B48)*(Diário!$B$4:$B$2662&gt;=G$4)*(Diário!$B$4:$B$2662&lt;=EOMONTH(G$4,0))*(Diário!$F$4:$F$2662))</f>
        <v>134994.16</v>
      </c>
      <c r="H48" s="102">
        <f>SUMPRODUCT((Diário!$E$4:$E$2662='Analítico Cx.'!$B48)*(Diário!$B$4:$B$2662&gt;=H$4)*(Diário!$B$4:$B$2662&lt;=EOMONTH(H$4,0))*(Diário!$F$4:$F$2662))</f>
        <v>131485.84</v>
      </c>
      <c r="I48" s="102">
        <f>SUMPRODUCT((Diário!$E$4:$E$2662='Analítico Cx.'!$B48)*(Diário!$B$4:$B$2662&gt;=I$4)*(Diário!$B$4:$B$2662&lt;=EOMONTH(I$4,0))*(Diário!$F$4:$F$2662))</f>
        <v>0</v>
      </c>
      <c r="J48" s="102">
        <f>SUMPRODUCT((Diário!$E$4:$E$2662='Analítico Cx.'!$B48)*(Diário!$B$4:$B$2662&gt;=J$4)*(Diário!$B$4:$B$2662&lt;=EOMONTH(J$4,0))*(Diário!$F$4:$F$2662))</f>
        <v>0</v>
      </c>
      <c r="K48" s="102">
        <f>SUMPRODUCT((Diário!$E$4:$E$2662='Analítico Cx.'!$B48)*(Diário!$B$4:$B$2662&gt;=K$4)*(Diário!$B$4:$B$2662&lt;=EOMONTH(K$4,0))*(Diário!$F$4:$F$2662))</f>
        <v>0</v>
      </c>
      <c r="L48" s="102">
        <f>SUMPRODUCT((Diário!$E$4:$E$2662='Analítico Cx.'!$B48)*(Diário!$B$4:$B$2662&gt;=L$4)*(Diário!$B$4:$B$2662&lt;=EOMONTH(L$4,0))*(Diário!$F$4:$F$2662))</f>
        <v>0</v>
      </c>
      <c r="M48" s="102">
        <f>SUMPRODUCT((Diário!$E$4:$E$2662='Analítico Cx.'!$B48)*(Diário!$B$4:$B$2662&gt;=M$4)*(Diário!$B$4:$B$2662&lt;=EOMONTH(M$4,0))*(Diário!$F$4:$F$2662))</f>
        <v>0</v>
      </c>
      <c r="N48" s="102">
        <f>SUMPRODUCT((Diário!$E$4:$E$2662='Analítico Cx.'!$B48)*(Diário!$B$4:$B$2662&gt;=N$4)*(Diário!$B$4:$B$2662&lt;=EOMONTH(N$4,0))*(Diário!$F$4:$F$2662))</f>
        <v>0</v>
      </c>
      <c r="O48" s="103">
        <f t="shared" ref="O48:O55" si="11">SUM(C48:N48)</f>
        <v>803146.12</v>
      </c>
      <c r="P48" s="95">
        <f t="shared" si="8"/>
        <v>4.1471731589290753E-2</v>
      </c>
    </row>
    <row r="49" spans="1:16" ht="23.25" customHeight="1">
      <c r="A49" s="202" t="s">
        <v>99</v>
      </c>
      <c r="B49" s="39" t="s">
        <v>287</v>
      </c>
      <c r="C49" s="102">
        <f>SUMPRODUCT((Diário!$E$4:$E$2662='Analítico Cx.'!$B49)*(Diário!$B$4:$B$2662&gt;=C$4)*(Diário!$B$4:$B$2662&lt;=EOMONTH(C$4,0))*(Diário!$F$4:$F$2662))</f>
        <v>123776.04000000001</v>
      </c>
      <c r="D49" s="102">
        <f>SUMPRODUCT((Diário!$E$4:$E$2662='Analítico Cx.'!$B49)*(Diário!$B$4:$B$2662&gt;=D$4)*(Diário!$B$4:$B$2662&lt;=EOMONTH(D$4,0))*(Diário!$F$4:$F$2662))</f>
        <v>125442.00000000001</v>
      </c>
      <c r="E49" s="102">
        <f>SUMPRODUCT((Diário!$E$4:$E$2662='Analítico Cx.'!$B49)*(Diário!$B$4:$B$2662&gt;=E$4)*(Diário!$B$4:$B$2662&lt;=EOMONTH(E$4,0))*(Diário!$F$4:$F$2662))</f>
        <v>123659.35999999999</v>
      </c>
      <c r="F49" s="102">
        <f>SUMPRODUCT((Diário!$E$4:$E$2662='Analítico Cx.'!$B49)*(Diário!$B$4:$B$2662&gt;=F$4)*(Diário!$B$4:$B$2662&lt;=EOMONTH(F$4,0))*(Diário!$F$4:$F$2662))</f>
        <v>128661.93</v>
      </c>
      <c r="G49" s="102">
        <f>SUMPRODUCT((Diário!$E$4:$E$2662='Analítico Cx.'!$B49)*(Diário!$B$4:$B$2662&gt;=G$4)*(Diário!$B$4:$B$2662&lt;=EOMONTH(G$4,0))*(Diário!$F$4:$F$2662))</f>
        <v>132330.60999999999</v>
      </c>
      <c r="H49" s="102">
        <f>SUMPRODUCT((Diário!$E$4:$E$2662='Analítico Cx.'!$B49)*(Diário!$B$4:$B$2662&gt;=H$4)*(Diário!$B$4:$B$2662&lt;=EOMONTH(H$4,0))*(Diário!$F$4:$F$2662))</f>
        <v>129993.34999999999</v>
      </c>
      <c r="I49" s="102">
        <f>SUMPRODUCT((Diário!$E$4:$E$2662='Analítico Cx.'!$B49)*(Diário!$B$4:$B$2662&gt;=I$4)*(Diário!$B$4:$B$2662&lt;=EOMONTH(I$4,0))*(Diário!$F$4:$F$2662))</f>
        <v>0</v>
      </c>
      <c r="J49" s="102">
        <f>SUMPRODUCT((Diário!$E$4:$E$2662='Analítico Cx.'!$B49)*(Diário!$B$4:$B$2662&gt;=J$4)*(Diário!$B$4:$B$2662&lt;=EOMONTH(J$4,0))*(Diário!$F$4:$F$2662))</f>
        <v>0</v>
      </c>
      <c r="K49" s="102">
        <f>SUMPRODUCT((Diário!$E$4:$E$2662='Analítico Cx.'!$B49)*(Diário!$B$4:$B$2662&gt;=K$4)*(Diário!$B$4:$B$2662&lt;=EOMONTH(K$4,0))*(Diário!$F$4:$F$2662))</f>
        <v>0</v>
      </c>
      <c r="L49" s="102">
        <f>SUMPRODUCT((Diário!$E$4:$E$2662='Analítico Cx.'!$B49)*(Diário!$B$4:$B$2662&gt;=L$4)*(Diário!$B$4:$B$2662&lt;=EOMONTH(L$4,0))*(Diário!$F$4:$F$2662))</f>
        <v>0</v>
      </c>
      <c r="M49" s="102">
        <f>SUMPRODUCT((Diário!$E$4:$E$2662='Analítico Cx.'!$B49)*(Diário!$B$4:$B$2662&gt;=M$4)*(Diário!$B$4:$B$2662&lt;=EOMONTH(M$4,0))*(Diário!$F$4:$F$2662))</f>
        <v>0</v>
      </c>
      <c r="N49" s="102">
        <f>SUMPRODUCT((Diário!$E$4:$E$2662='Analítico Cx.'!$B49)*(Diário!$B$4:$B$2662&gt;=N$4)*(Diário!$B$4:$B$2662&lt;=EOMONTH(N$4,0))*(Diário!$F$4:$F$2662))</f>
        <v>0</v>
      </c>
      <c r="O49" s="103">
        <f t="shared" si="11"/>
        <v>763863.28999999992</v>
      </c>
      <c r="P49" s="95">
        <f t="shared" si="8"/>
        <v>3.9443299973599522E-2</v>
      </c>
    </row>
    <row r="50" spans="1:16" ht="23.25" customHeight="1">
      <c r="A50" s="202" t="s">
        <v>100</v>
      </c>
      <c r="B50" s="39" t="s">
        <v>8</v>
      </c>
      <c r="C50" s="102">
        <f>SUMPRODUCT((Diário!$E$4:$E$2662='Analítico Cx.'!$B50)*(Diário!$B$4:$B$2662&gt;=C$4)*(Diário!$B$4:$B$2662&lt;=EOMONTH(C$4,0))*(Diário!$F$4:$F$2662))</f>
        <v>0</v>
      </c>
      <c r="D50" s="102">
        <f>SUMPRODUCT((Diário!$E$4:$E$2662='Analítico Cx.'!$B50)*(Diário!$B$4:$B$2662&gt;=D$4)*(Diário!$B$4:$B$2662&lt;=EOMONTH(D$4,0))*(Diário!$F$4:$F$2662))</f>
        <v>4005.52</v>
      </c>
      <c r="E50" s="102">
        <f>SUMPRODUCT((Diário!$E$4:$E$2662='Analítico Cx.'!$B50)*(Diário!$B$4:$B$2662&gt;=E$4)*(Diário!$B$4:$B$2662&lt;=EOMONTH(E$4,0))*(Diário!$F$4:$F$2662))</f>
        <v>4121.96</v>
      </c>
      <c r="F50" s="102">
        <f>SUMPRODUCT((Diário!$E$4:$E$2662='Analítico Cx.'!$B50)*(Diário!$B$4:$B$2662&gt;=F$4)*(Diário!$B$4:$B$2662&lt;=EOMONTH(F$4,0))*(Diário!$F$4:$F$2662))</f>
        <v>4121.96</v>
      </c>
      <c r="G50" s="102">
        <f>SUMPRODUCT((Diário!$E$4:$E$2662='Analítico Cx.'!$B50)*(Diário!$B$4:$B$2662&gt;=G$4)*(Diário!$B$4:$B$2662&lt;=EOMONTH(G$4,0))*(Diário!$F$4:$F$2662))</f>
        <v>4180.18</v>
      </c>
      <c r="H50" s="102">
        <f>SUMPRODUCT((Diário!$E$4:$E$2662='Analítico Cx.'!$B50)*(Diário!$B$4:$B$2662&gt;=H$4)*(Diário!$B$4:$B$2662&lt;=EOMONTH(H$4,0))*(Diário!$F$4:$F$2662))</f>
        <v>4238.3999999999996</v>
      </c>
      <c r="I50" s="102">
        <f>SUMPRODUCT((Diário!$E$4:$E$2662='Analítico Cx.'!$B50)*(Diário!$B$4:$B$2662&gt;=I$4)*(Diário!$B$4:$B$2662&lt;=EOMONTH(I$4,0))*(Diário!$F$4:$F$2662))</f>
        <v>0</v>
      </c>
      <c r="J50" s="102">
        <f>SUMPRODUCT((Diário!$E$4:$E$2662='Analítico Cx.'!$B50)*(Diário!$B$4:$B$2662&gt;=J$4)*(Diário!$B$4:$B$2662&lt;=EOMONTH(J$4,0))*(Diário!$F$4:$F$2662))</f>
        <v>0</v>
      </c>
      <c r="K50" s="102">
        <f>SUMPRODUCT((Diário!$E$4:$E$2662='Analítico Cx.'!$B50)*(Diário!$B$4:$B$2662&gt;=K$4)*(Diário!$B$4:$B$2662&lt;=EOMONTH(K$4,0))*(Diário!$F$4:$F$2662))</f>
        <v>0</v>
      </c>
      <c r="L50" s="102">
        <f>SUMPRODUCT((Diário!$E$4:$E$2662='Analítico Cx.'!$B50)*(Diário!$B$4:$B$2662&gt;=L$4)*(Diário!$B$4:$B$2662&lt;=EOMONTH(L$4,0))*(Diário!$F$4:$F$2662))</f>
        <v>0</v>
      </c>
      <c r="M50" s="102">
        <f>SUMPRODUCT((Diário!$E$4:$E$2662='Analítico Cx.'!$B50)*(Diário!$B$4:$B$2662&gt;=M$4)*(Diário!$B$4:$B$2662&lt;=EOMONTH(M$4,0))*(Diário!$F$4:$F$2662))</f>
        <v>0</v>
      </c>
      <c r="N50" s="102">
        <f>SUMPRODUCT((Diário!$E$4:$E$2662='Analítico Cx.'!$B50)*(Diário!$B$4:$B$2662&gt;=N$4)*(Diário!$B$4:$B$2662&lt;=EOMONTH(N$4,0))*(Diário!$F$4:$F$2662))</f>
        <v>0</v>
      </c>
      <c r="O50" s="103">
        <f t="shared" si="11"/>
        <v>20668.019999999997</v>
      </c>
      <c r="P50" s="95">
        <f t="shared" si="8"/>
        <v>1.0672261953056474E-3</v>
      </c>
    </row>
    <row r="51" spans="1:16" ht="23.25" customHeight="1">
      <c r="A51" s="202" t="s">
        <v>101</v>
      </c>
      <c r="B51" s="39" t="s">
        <v>50</v>
      </c>
      <c r="C51" s="102">
        <f>SUMPRODUCT((Diário!$E$4:$E$2662='Analítico Cx.'!$B51)*(Diário!$B$4:$B$2662&gt;=C$4)*(Diário!$B$4:$B$2662&lt;=EOMONTH(C$4,0))*(Diário!$F$4:$F$2662))</f>
        <v>0</v>
      </c>
      <c r="D51" s="102">
        <f>SUMPRODUCT((Diário!$E$4:$E$2662='Analítico Cx.'!$B51)*(Diário!$B$4:$B$2662&gt;=D$4)*(Diário!$B$4:$B$2662&lt;=EOMONTH(D$4,0))*(Diário!$F$4:$F$2662))</f>
        <v>0</v>
      </c>
      <c r="E51" s="102">
        <f>SUMPRODUCT((Diário!$E$4:$E$2662='Analítico Cx.'!$B51)*(Diário!$B$4:$B$2662&gt;=E$4)*(Diário!$B$4:$B$2662&lt;=EOMONTH(E$4,0))*(Diário!$F$4:$F$2662))</f>
        <v>0</v>
      </c>
      <c r="F51" s="102">
        <f>SUMPRODUCT((Diário!$E$4:$E$2662='Analítico Cx.'!$B51)*(Diário!$B$4:$B$2662&gt;=F$4)*(Diário!$B$4:$B$2662&lt;=EOMONTH(F$4,0))*(Diário!$F$4:$F$2662))</f>
        <v>0</v>
      </c>
      <c r="G51" s="102">
        <f>SUMPRODUCT((Diário!$E$4:$E$2662='Analítico Cx.'!$B51)*(Diário!$B$4:$B$2662&gt;=G$4)*(Diário!$B$4:$B$2662&lt;=EOMONTH(G$4,0))*(Diário!$F$4:$F$2662))</f>
        <v>0</v>
      </c>
      <c r="H51" s="102">
        <f>SUMPRODUCT((Diário!$E$4:$E$2662='Analítico Cx.'!$B51)*(Diário!$B$4:$B$2662&gt;=H$4)*(Diário!$B$4:$B$2662&lt;=EOMONTH(H$4,0))*(Diário!$F$4:$F$2662))</f>
        <v>0</v>
      </c>
      <c r="I51" s="102">
        <f>SUMPRODUCT((Diário!$E$4:$E$2662='Analítico Cx.'!$B51)*(Diário!$B$4:$B$2662&gt;=I$4)*(Diário!$B$4:$B$2662&lt;=EOMONTH(I$4,0))*(Diário!$F$4:$F$2662))</f>
        <v>0</v>
      </c>
      <c r="J51" s="102">
        <f>SUMPRODUCT((Diário!$E$4:$E$2662='Analítico Cx.'!$B51)*(Diário!$B$4:$B$2662&gt;=J$4)*(Diário!$B$4:$B$2662&lt;=EOMONTH(J$4,0))*(Diário!$F$4:$F$2662))</f>
        <v>0</v>
      </c>
      <c r="K51" s="102">
        <f>SUMPRODUCT((Diário!$E$4:$E$2662='Analítico Cx.'!$B51)*(Diário!$B$4:$B$2662&gt;=K$4)*(Diário!$B$4:$B$2662&lt;=EOMONTH(K$4,0))*(Diário!$F$4:$F$2662))</f>
        <v>0</v>
      </c>
      <c r="L51" s="102">
        <f>SUMPRODUCT((Diário!$E$4:$E$2662='Analítico Cx.'!$B51)*(Diário!$B$4:$B$2662&gt;=L$4)*(Diário!$B$4:$B$2662&lt;=EOMONTH(L$4,0))*(Diário!$F$4:$F$2662))</f>
        <v>0</v>
      </c>
      <c r="M51" s="102">
        <f>SUMPRODUCT((Diário!$E$4:$E$2662='Analítico Cx.'!$B51)*(Diário!$B$4:$B$2662&gt;=M$4)*(Diário!$B$4:$B$2662&lt;=EOMONTH(M$4,0))*(Diário!$F$4:$F$2662))</f>
        <v>0</v>
      </c>
      <c r="N51" s="102">
        <f>SUMPRODUCT((Diário!$E$4:$E$2662='Analítico Cx.'!$B51)*(Diário!$B$4:$B$2662&gt;=N$4)*(Diário!$B$4:$B$2662&lt;=EOMONTH(N$4,0))*(Diário!$F$4:$F$2662))</f>
        <v>0</v>
      </c>
      <c r="O51" s="103">
        <f t="shared" si="11"/>
        <v>0</v>
      </c>
      <c r="P51" s="95">
        <f t="shared" si="8"/>
        <v>0</v>
      </c>
    </row>
    <row r="52" spans="1:16" ht="23.25" customHeight="1">
      <c r="A52" s="202" t="s">
        <v>156</v>
      </c>
      <c r="B52" s="39" t="s">
        <v>51</v>
      </c>
      <c r="C52" s="102">
        <f>SUMPRODUCT((Diário!$E$4:$E$2662='Analítico Cx.'!$B52)*(Diário!$B$4:$B$2662&gt;=C$4)*(Diário!$B$4:$B$2662&lt;=EOMONTH(C$4,0))*(Diário!$F$4:$F$2662))</f>
        <v>0</v>
      </c>
      <c r="D52" s="102">
        <f>SUMPRODUCT((Diário!$E$4:$E$2662='Analítico Cx.'!$B52)*(Diário!$B$4:$B$2662&gt;=D$4)*(Diário!$B$4:$B$2662&lt;=EOMONTH(D$4,0))*(Diário!$F$4:$F$2662))</f>
        <v>0</v>
      </c>
      <c r="E52" s="102">
        <f>SUMPRODUCT((Diário!$E$4:$E$2662='Analítico Cx.'!$B52)*(Diário!$B$4:$B$2662&gt;=E$4)*(Diário!$B$4:$B$2662&lt;=EOMONTH(E$4,0))*(Diário!$F$4:$F$2662))</f>
        <v>0</v>
      </c>
      <c r="F52" s="102">
        <f>SUMPRODUCT((Diário!$E$4:$E$2662='Analítico Cx.'!$B52)*(Diário!$B$4:$B$2662&gt;=F$4)*(Diário!$B$4:$B$2662&lt;=EOMONTH(F$4,0))*(Diário!$F$4:$F$2662))</f>
        <v>0</v>
      </c>
      <c r="G52" s="102">
        <f>SUMPRODUCT((Diário!$E$4:$E$2662='Analítico Cx.'!$B52)*(Diário!$B$4:$B$2662&gt;=G$4)*(Diário!$B$4:$B$2662&lt;=EOMONTH(G$4,0))*(Diário!$F$4:$F$2662))</f>
        <v>0</v>
      </c>
      <c r="H52" s="102">
        <f>SUMPRODUCT((Diário!$E$4:$E$2662='Analítico Cx.'!$B52)*(Diário!$B$4:$B$2662&gt;=H$4)*(Diário!$B$4:$B$2662&lt;=EOMONTH(H$4,0))*(Diário!$F$4:$F$2662))</f>
        <v>0</v>
      </c>
      <c r="I52" s="102">
        <f>SUMPRODUCT((Diário!$E$4:$E$2662='Analítico Cx.'!$B52)*(Diário!$B$4:$B$2662&gt;=I$4)*(Diário!$B$4:$B$2662&lt;=EOMONTH(I$4,0))*(Diário!$F$4:$F$2662))</f>
        <v>0</v>
      </c>
      <c r="J52" s="102">
        <f>SUMPRODUCT((Diário!$E$4:$E$2662='Analítico Cx.'!$B52)*(Diário!$B$4:$B$2662&gt;=J$4)*(Diário!$B$4:$B$2662&lt;=EOMONTH(J$4,0))*(Diário!$F$4:$F$2662))</f>
        <v>0</v>
      </c>
      <c r="K52" s="102">
        <f>SUMPRODUCT((Diário!$E$4:$E$2662='Analítico Cx.'!$B52)*(Diário!$B$4:$B$2662&gt;=K$4)*(Diário!$B$4:$B$2662&lt;=EOMONTH(K$4,0))*(Diário!$F$4:$F$2662))</f>
        <v>0</v>
      </c>
      <c r="L52" s="102">
        <f>SUMPRODUCT((Diário!$E$4:$E$2662='Analítico Cx.'!$B52)*(Diário!$B$4:$B$2662&gt;=L$4)*(Diário!$B$4:$B$2662&lt;=EOMONTH(L$4,0))*(Diário!$F$4:$F$2662))</f>
        <v>0</v>
      </c>
      <c r="M52" s="102">
        <f>SUMPRODUCT((Diário!$E$4:$E$2662='Analítico Cx.'!$B52)*(Diário!$B$4:$B$2662&gt;=M$4)*(Diário!$B$4:$B$2662&lt;=EOMONTH(M$4,0))*(Diário!$F$4:$F$2662))</f>
        <v>0</v>
      </c>
      <c r="N52" s="102">
        <f>SUMPRODUCT((Diário!$E$4:$E$2662='Analítico Cx.'!$B52)*(Diário!$B$4:$B$2662&gt;=N$4)*(Diário!$B$4:$B$2662&lt;=EOMONTH(N$4,0))*(Diário!$F$4:$F$2662))</f>
        <v>0</v>
      </c>
      <c r="O52" s="103">
        <f t="shared" si="11"/>
        <v>0</v>
      </c>
      <c r="P52" s="95">
        <f t="shared" si="8"/>
        <v>0</v>
      </c>
    </row>
    <row r="53" spans="1:16" ht="23.25" customHeight="1">
      <c r="A53" s="202" t="s">
        <v>157</v>
      </c>
      <c r="B53" s="39" t="s">
        <v>293</v>
      </c>
      <c r="C53" s="102">
        <f>SUMPRODUCT((Diário!$E$4:$E$2662='Analítico Cx.'!$B53)*(Diário!$B$4:$B$2662&gt;=C$4)*(Diário!$B$4:$B$2662&lt;=EOMONTH(C$4,0))*(Diário!$F$4:$F$2662))</f>
        <v>0</v>
      </c>
      <c r="D53" s="102">
        <f>SUMPRODUCT((Diário!$E$4:$E$2662='Analítico Cx.'!$B53)*(Diário!$B$4:$B$2662&gt;=D$4)*(Diário!$B$4:$B$2662&lt;=EOMONTH(D$4,0))*(Diário!$F$4:$F$2662))</f>
        <v>0</v>
      </c>
      <c r="E53" s="102">
        <f>SUMPRODUCT((Diário!$E$4:$E$2662='Analítico Cx.'!$B53)*(Diário!$B$4:$B$2662&gt;=E$4)*(Diário!$B$4:$B$2662&lt;=EOMONTH(E$4,0))*(Diário!$F$4:$F$2662))</f>
        <v>0</v>
      </c>
      <c r="F53" s="102">
        <f>SUMPRODUCT((Diário!$E$4:$E$2662='Analítico Cx.'!$B53)*(Diário!$B$4:$B$2662&gt;=F$4)*(Diário!$B$4:$B$2662&lt;=EOMONTH(F$4,0))*(Diário!$F$4:$F$2662))</f>
        <v>0</v>
      </c>
      <c r="G53" s="102">
        <f>SUMPRODUCT((Diário!$E$4:$E$2662='Analítico Cx.'!$B53)*(Diário!$B$4:$B$2662&gt;=G$4)*(Diário!$B$4:$B$2662&lt;=EOMONTH(G$4,0))*(Diário!$F$4:$F$2662))</f>
        <v>0</v>
      </c>
      <c r="H53" s="102">
        <f>SUMPRODUCT((Diário!$E$4:$E$2662='Analítico Cx.'!$B53)*(Diário!$B$4:$B$2662&gt;=H$4)*(Diário!$B$4:$B$2662&lt;=EOMONTH(H$4,0))*(Diário!$F$4:$F$2662))</f>
        <v>0</v>
      </c>
      <c r="I53" s="102">
        <f>SUMPRODUCT((Diário!$E$4:$E$2662='Analítico Cx.'!$B53)*(Diário!$B$4:$B$2662&gt;=I$4)*(Diário!$B$4:$B$2662&lt;=EOMONTH(I$4,0))*(Diário!$F$4:$F$2662))</f>
        <v>0</v>
      </c>
      <c r="J53" s="102">
        <f>SUMPRODUCT((Diário!$E$4:$E$2662='Analítico Cx.'!$B53)*(Diário!$B$4:$B$2662&gt;=J$4)*(Diário!$B$4:$B$2662&lt;=EOMONTH(J$4,0))*(Diário!$F$4:$F$2662))</f>
        <v>0</v>
      </c>
      <c r="K53" s="102">
        <f>SUMPRODUCT((Diário!$E$4:$E$2662='Analítico Cx.'!$B53)*(Diário!$B$4:$B$2662&gt;=K$4)*(Diário!$B$4:$B$2662&lt;=EOMONTH(K$4,0))*(Diário!$F$4:$F$2662))</f>
        <v>0</v>
      </c>
      <c r="L53" s="102">
        <f>SUMPRODUCT((Diário!$E$4:$E$2662='Analítico Cx.'!$B53)*(Diário!$B$4:$B$2662&gt;=L$4)*(Diário!$B$4:$B$2662&lt;=EOMONTH(L$4,0))*(Diário!$F$4:$F$2662))</f>
        <v>0</v>
      </c>
      <c r="M53" s="102">
        <f>SUMPRODUCT((Diário!$E$4:$E$2662='Analítico Cx.'!$B53)*(Diário!$B$4:$B$2662&gt;=M$4)*(Diário!$B$4:$B$2662&lt;=EOMONTH(M$4,0))*(Diário!$F$4:$F$2662))</f>
        <v>0</v>
      </c>
      <c r="N53" s="102">
        <f>SUMPRODUCT((Diário!$E$4:$E$2662='Analítico Cx.'!$B53)*(Diário!$B$4:$B$2662&gt;=N$4)*(Diário!$B$4:$B$2662&lt;=EOMONTH(N$4,0))*(Diário!$F$4:$F$2662))</f>
        <v>0</v>
      </c>
      <c r="O53" s="103">
        <f>SUM(C53:N53)</f>
        <v>0</v>
      </c>
      <c r="P53" s="95">
        <f t="shared" si="8"/>
        <v>0</v>
      </c>
    </row>
    <row r="54" spans="1:16" ht="23.25" customHeight="1">
      <c r="A54" s="202" t="s">
        <v>292</v>
      </c>
      <c r="B54" s="39" t="s">
        <v>351</v>
      </c>
      <c r="C54" s="102">
        <f>SUMPRODUCT((Diário!$E$4:$E$2662='Analítico Cx.'!$B54)*(Diário!$B$4:$B$2662&gt;=C$4)*(Diário!$B$4:$B$2662&lt;=EOMONTH(C$4,0))*(Diário!$F$4:$F$2662))</f>
        <v>0</v>
      </c>
      <c r="D54" s="102">
        <f>SUMPRODUCT((Diário!$E$4:$E$2662='Analítico Cx.'!$B54)*(Diário!$B$4:$B$2662&gt;=D$4)*(Diário!$B$4:$B$2662&lt;=EOMONTH(D$4,0))*(Diário!$F$4:$F$2662))</f>
        <v>0</v>
      </c>
      <c r="E54" s="102">
        <f>SUMPRODUCT((Diário!$E$4:$E$2662='Analítico Cx.'!$B54)*(Diário!$B$4:$B$2662&gt;=E$4)*(Diário!$B$4:$B$2662&lt;=EOMONTH(E$4,0))*(Diário!$F$4:$F$2662))</f>
        <v>0</v>
      </c>
      <c r="F54" s="102">
        <f>SUMPRODUCT((Diário!$E$4:$E$2662='Analítico Cx.'!$B54)*(Diário!$B$4:$B$2662&gt;=F$4)*(Diário!$B$4:$B$2662&lt;=EOMONTH(F$4,0))*(Diário!$F$4:$F$2662))</f>
        <v>0</v>
      </c>
      <c r="G54" s="102">
        <f>SUMPRODUCT((Diário!$E$4:$E$2662='Analítico Cx.'!$B54)*(Diário!$B$4:$B$2662&gt;=G$4)*(Diário!$B$4:$B$2662&lt;=EOMONTH(G$4,0))*(Diário!$F$4:$F$2662))</f>
        <v>0</v>
      </c>
      <c r="H54" s="102">
        <f>SUMPRODUCT((Diário!$E$4:$E$2662='Analítico Cx.'!$B54)*(Diário!$B$4:$B$2662&gt;=H$4)*(Diário!$B$4:$B$2662&lt;=EOMONTH(H$4,0))*(Diário!$F$4:$F$2662))</f>
        <v>0</v>
      </c>
      <c r="I54" s="102">
        <f>SUMPRODUCT((Diário!$E$4:$E$2662='Analítico Cx.'!$B54)*(Diário!$B$4:$B$2662&gt;=I$4)*(Diário!$B$4:$B$2662&lt;=EOMONTH(I$4,0))*(Diário!$F$4:$F$2662))</f>
        <v>0</v>
      </c>
      <c r="J54" s="102">
        <f>SUMPRODUCT((Diário!$E$4:$E$2662='Analítico Cx.'!$B54)*(Diário!$B$4:$B$2662&gt;=J$4)*(Diário!$B$4:$B$2662&lt;=EOMONTH(J$4,0))*(Diário!$F$4:$F$2662))</f>
        <v>0</v>
      </c>
      <c r="K54" s="102">
        <f>SUMPRODUCT((Diário!$E$4:$E$2662='Analítico Cx.'!$B54)*(Diário!$B$4:$B$2662&gt;=K$4)*(Diário!$B$4:$B$2662&lt;=EOMONTH(K$4,0))*(Diário!$F$4:$F$2662))</f>
        <v>0</v>
      </c>
      <c r="L54" s="102">
        <f>SUMPRODUCT((Diário!$E$4:$E$2662='Analítico Cx.'!$B54)*(Diário!$B$4:$B$2662&gt;=L$4)*(Diário!$B$4:$B$2662&lt;=EOMONTH(L$4,0))*(Diário!$F$4:$F$2662))</f>
        <v>0</v>
      </c>
      <c r="M54" s="102">
        <f>SUMPRODUCT((Diário!$E$4:$E$2662='Analítico Cx.'!$B54)*(Diário!$B$4:$B$2662&gt;=M$4)*(Diário!$B$4:$B$2662&lt;=EOMONTH(M$4,0))*(Diário!$F$4:$F$2662))</f>
        <v>0</v>
      </c>
      <c r="N54" s="102">
        <f>SUMPRODUCT((Diário!$E$4:$E$2662='Analítico Cx.'!$B54)*(Diário!$B$4:$B$2662&gt;=N$4)*(Diário!$B$4:$B$2662&lt;=EOMONTH(N$4,0))*(Diário!$F$4:$F$2662))</f>
        <v>0</v>
      </c>
      <c r="O54" s="103">
        <f>SUM(C54:N54)</f>
        <v>0</v>
      </c>
      <c r="P54" s="95">
        <f t="shared" si="8"/>
        <v>0</v>
      </c>
    </row>
    <row r="55" spans="1:16" ht="23.25" customHeight="1">
      <c r="A55" s="202" t="s">
        <v>352</v>
      </c>
      <c r="B55" s="41" t="s">
        <v>69</v>
      </c>
      <c r="C55" s="102">
        <f>SUMPRODUCT((Diário!$E$4:$E$2662='Analítico Cx.'!$B55)*(Diário!$B$4:$B$2662&gt;=C$4)*(Diário!$B$4:$B$2662&lt;=EOMONTH(C$4,0))*(Diário!$F$4:$F$2662))</f>
        <v>3350</v>
      </c>
      <c r="D55" s="102">
        <f>SUMPRODUCT((Diário!$E$4:$E$2662='Analítico Cx.'!$B55)*(Diário!$B$4:$B$2662&gt;=D$4)*(Diário!$B$4:$B$2662&lt;=EOMONTH(D$4,0))*(Diário!$F$4:$F$2662))</f>
        <v>3400</v>
      </c>
      <c r="E55" s="102">
        <f>SUMPRODUCT((Diário!$E$4:$E$2662='Analítico Cx.'!$B55)*(Diário!$B$4:$B$2662&gt;=E$4)*(Diário!$B$4:$B$2662&lt;=EOMONTH(E$4,0))*(Diário!$F$4:$F$2662))</f>
        <v>3300</v>
      </c>
      <c r="F55" s="102">
        <f>SUMPRODUCT((Diário!$E$4:$E$2662='Analítico Cx.'!$B55)*(Diário!$B$4:$B$2662&gt;=F$4)*(Diário!$B$4:$B$2662&lt;=EOMONTH(F$4,0))*(Diário!$F$4:$F$2662))</f>
        <v>3450</v>
      </c>
      <c r="G55" s="102">
        <f>SUMPRODUCT((Diário!$E$4:$E$2662='Analítico Cx.'!$B55)*(Diário!$B$4:$B$2662&gt;=G$4)*(Diário!$B$4:$B$2662&lt;=EOMONTH(G$4,0))*(Diário!$F$4:$F$2662))</f>
        <v>3650</v>
      </c>
      <c r="H55" s="102">
        <f>SUMPRODUCT((Diário!$E$4:$E$2662='Analítico Cx.'!$B55)*(Diário!$B$4:$B$2662&gt;=H$4)*(Diário!$B$4:$B$2662&lt;=EOMONTH(H$4,0))*(Diário!$F$4:$F$2662))</f>
        <v>3450</v>
      </c>
      <c r="I55" s="102">
        <f>SUMPRODUCT((Diário!$E$4:$E$2662='Analítico Cx.'!$B55)*(Diário!$B$4:$B$2662&gt;=I$4)*(Diário!$B$4:$B$2662&lt;=EOMONTH(I$4,0))*(Diário!$F$4:$F$2662))</f>
        <v>0</v>
      </c>
      <c r="J55" s="102">
        <f>SUMPRODUCT((Diário!$E$4:$E$2662='Analítico Cx.'!$B55)*(Diário!$B$4:$B$2662&gt;=J$4)*(Diário!$B$4:$B$2662&lt;=EOMONTH(J$4,0))*(Diário!$F$4:$F$2662))</f>
        <v>0</v>
      </c>
      <c r="K55" s="102">
        <f>SUMPRODUCT((Diário!$E$4:$E$2662='Analítico Cx.'!$B55)*(Diário!$B$4:$B$2662&gt;=K$4)*(Diário!$B$4:$B$2662&lt;=EOMONTH(K$4,0))*(Diário!$F$4:$F$2662))</f>
        <v>0</v>
      </c>
      <c r="L55" s="102">
        <f>SUMPRODUCT((Diário!$E$4:$E$2662='Analítico Cx.'!$B55)*(Diário!$B$4:$B$2662&gt;=L$4)*(Diário!$B$4:$B$2662&lt;=EOMONTH(L$4,0))*(Diário!$F$4:$F$2662))</f>
        <v>0</v>
      </c>
      <c r="M55" s="102">
        <f>SUMPRODUCT((Diário!$E$4:$E$2662='Analítico Cx.'!$B55)*(Diário!$B$4:$B$2662&gt;=M$4)*(Diário!$B$4:$B$2662&lt;=EOMONTH(M$4,0))*(Diário!$F$4:$F$2662))</f>
        <v>0</v>
      </c>
      <c r="N55" s="102">
        <f>SUMPRODUCT((Diário!$E$4:$E$2662='Analítico Cx.'!$B55)*(Diário!$B$4:$B$2662&gt;=N$4)*(Diário!$B$4:$B$2662&lt;=EOMONTH(N$4,0))*(Diário!$F$4:$F$2662))</f>
        <v>0</v>
      </c>
      <c r="O55" s="103">
        <f t="shared" si="11"/>
        <v>20600</v>
      </c>
      <c r="P55" s="95">
        <f t="shared" si="8"/>
        <v>1.0637138740574249E-3</v>
      </c>
    </row>
    <row r="56" spans="1:16" ht="23.25" customHeight="1">
      <c r="A56" s="17"/>
      <c r="B56" s="18" t="s">
        <v>103</v>
      </c>
      <c r="C56" s="104">
        <f t="shared" ref="C56:O56" si="12">SUBTOTAL(109,C47:C55)</f>
        <v>268224.95</v>
      </c>
      <c r="D56" s="104">
        <f t="shared" si="12"/>
        <v>272579.95</v>
      </c>
      <c r="E56" s="104">
        <f t="shared" si="12"/>
        <v>272270.19</v>
      </c>
      <c r="F56" s="104">
        <f t="shared" si="12"/>
        <v>274783.92</v>
      </c>
      <c r="G56" s="104">
        <f t="shared" si="12"/>
        <v>281467.55</v>
      </c>
      <c r="H56" s="104">
        <f t="shared" si="12"/>
        <v>276677.83</v>
      </c>
      <c r="I56" s="104">
        <f t="shared" ref="I56:N56" si="13">SUBTOTAL(109,I47:I55)</f>
        <v>0</v>
      </c>
      <c r="J56" s="104">
        <f t="shared" si="13"/>
        <v>0</v>
      </c>
      <c r="K56" s="104">
        <f t="shared" si="13"/>
        <v>0</v>
      </c>
      <c r="L56" s="104">
        <f t="shared" si="13"/>
        <v>0</v>
      </c>
      <c r="M56" s="104">
        <f t="shared" si="13"/>
        <v>0</v>
      </c>
      <c r="N56" s="104">
        <f t="shared" si="13"/>
        <v>0</v>
      </c>
      <c r="O56" s="104">
        <f t="shared" si="12"/>
        <v>1646004.39</v>
      </c>
      <c r="P56" s="96">
        <f t="shared" si="8"/>
        <v>8.4994063417593621E-2</v>
      </c>
    </row>
    <row r="57" spans="1:16" ht="23.25" customHeight="1" thickBot="1">
      <c r="A57" s="223"/>
      <c r="B57" s="224" t="s">
        <v>242</v>
      </c>
      <c r="C57" s="225">
        <f t="shared" ref="C57:O57" si="14">SUBTOTAL(109,C20:C56)</f>
        <v>1953750.54</v>
      </c>
      <c r="D57" s="225">
        <f t="shared" si="14"/>
        <v>1269028.97</v>
      </c>
      <c r="E57" s="225">
        <f t="shared" si="14"/>
        <v>2017731.69</v>
      </c>
      <c r="F57" s="225">
        <f t="shared" si="14"/>
        <v>2444367.08</v>
      </c>
      <c r="G57" s="225">
        <f t="shared" si="14"/>
        <v>2184610.46</v>
      </c>
      <c r="H57" s="225">
        <f t="shared" si="14"/>
        <v>2459811.54</v>
      </c>
      <c r="I57" s="225">
        <f t="shared" si="14"/>
        <v>0</v>
      </c>
      <c r="J57" s="225">
        <f t="shared" si="14"/>
        <v>0</v>
      </c>
      <c r="K57" s="225">
        <f t="shared" si="14"/>
        <v>0</v>
      </c>
      <c r="L57" s="225">
        <f t="shared" si="14"/>
        <v>0</v>
      </c>
      <c r="M57" s="225">
        <f t="shared" si="14"/>
        <v>0</v>
      </c>
      <c r="N57" s="225">
        <f t="shared" si="14"/>
        <v>0</v>
      </c>
      <c r="O57" s="225">
        <f t="shared" si="14"/>
        <v>12329300.279999997</v>
      </c>
      <c r="P57" s="226">
        <f t="shared" si="8"/>
        <v>0.63664309540078112</v>
      </c>
    </row>
    <row r="58" spans="1:16" ht="23.25" customHeight="1" thickBot="1">
      <c r="A58" s="227" t="s">
        <v>39</v>
      </c>
      <c r="B58" s="212" t="s">
        <v>248</v>
      </c>
      <c r="C58" s="228"/>
      <c r="D58" s="228"/>
      <c r="E58" s="228"/>
      <c r="F58" s="228"/>
      <c r="G58" s="228"/>
      <c r="H58" s="228"/>
      <c r="I58" s="228"/>
      <c r="J58" s="228"/>
      <c r="K58" s="228"/>
      <c r="L58" s="228"/>
      <c r="M58" s="228"/>
      <c r="N58" s="228"/>
      <c r="O58" s="228"/>
      <c r="P58" s="194"/>
    </row>
    <row r="59" spans="1:16" ht="23.25" customHeight="1">
      <c r="A59" s="40" t="s">
        <v>16</v>
      </c>
      <c r="B59" s="59" t="s">
        <v>2</v>
      </c>
      <c r="C59" s="102">
        <f>SUMPRODUCT((Diário!$E$4:$E$2662='Analítico Cx.'!$B59)*(Diário!$B$4:$B$2662&gt;=C$4)*(Diário!$B$4:$B$2662&lt;=EOMONTH(C$4,0))*(Diário!$F$4:$F$2662))</f>
        <v>0</v>
      </c>
      <c r="D59" s="102">
        <f>SUMPRODUCT((Diário!$E$4:$E$2662='Analítico Cx.'!$B59)*(Diário!$B$4:$B$2662&gt;=D$4)*(Diário!$B$4:$B$2662&lt;=EOMONTH(D$4,0))*(Diário!$F$4:$F$2662))</f>
        <v>0</v>
      </c>
      <c r="E59" s="102">
        <f>SUMPRODUCT((Diário!$E$4:$E$2662='Analítico Cx.'!$B59)*(Diário!$B$4:$B$2662&gt;=E$4)*(Diário!$B$4:$B$2662&lt;=EOMONTH(E$4,0))*(Diário!$F$4:$F$2662))</f>
        <v>0</v>
      </c>
      <c r="F59" s="102">
        <f>SUMPRODUCT((Diário!$E$4:$E$2662='Analítico Cx.'!$B59)*(Diário!$B$4:$B$2662&gt;=F$4)*(Diário!$B$4:$B$2662&lt;=EOMONTH(F$4,0))*(Diário!$F$4:$F$2662))</f>
        <v>0</v>
      </c>
      <c r="G59" s="102">
        <f>SUMPRODUCT((Diário!$E$4:$E$2662='Analítico Cx.'!$B59)*(Diário!$B$4:$B$2662&gt;=G$4)*(Diário!$B$4:$B$2662&lt;=EOMONTH(G$4,0))*(Diário!$F$4:$F$2662))</f>
        <v>0</v>
      </c>
      <c r="H59" s="102">
        <f>SUMPRODUCT((Diário!$E$4:$E$2662='Analítico Cx.'!$B59)*(Diário!$B$4:$B$2662&gt;=H$4)*(Diário!$B$4:$B$2662&lt;=EOMONTH(H$4,0))*(Diário!$F$4:$F$2662))</f>
        <v>0</v>
      </c>
      <c r="I59" s="102">
        <f>SUMPRODUCT((Diário!$E$4:$E$2662='Analítico Cx.'!$B59)*(Diário!$B$4:$B$2662&gt;=I$4)*(Diário!$B$4:$B$2662&lt;=EOMONTH(I$4,0))*(Diário!$F$4:$F$2662))</f>
        <v>0</v>
      </c>
      <c r="J59" s="102">
        <f>SUMPRODUCT((Diário!$E$4:$E$2662='Analítico Cx.'!$B59)*(Diário!$B$4:$B$2662&gt;=J$4)*(Diário!$B$4:$B$2662&lt;=EOMONTH(J$4,0))*(Diário!$F$4:$F$2662))</f>
        <v>0</v>
      </c>
      <c r="K59" s="102">
        <f>SUMPRODUCT((Diário!$E$4:$E$2662='Analítico Cx.'!$B59)*(Diário!$B$4:$B$2662&gt;=K$4)*(Diário!$B$4:$B$2662&lt;=EOMONTH(K$4,0))*(Diário!$F$4:$F$2662))</f>
        <v>0</v>
      </c>
      <c r="L59" s="102">
        <f>SUMPRODUCT((Diário!$E$4:$E$2662='Analítico Cx.'!$B59)*(Diário!$B$4:$B$2662&gt;=L$4)*(Diário!$B$4:$B$2662&lt;=EOMONTH(L$4,0))*(Diário!$F$4:$F$2662))</f>
        <v>0</v>
      </c>
      <c r="M59" s="102">
        <f>SUMPRODUCT((Diário!$E$4:$E$2662='Analítico Cx.'!$B59)*(Diário!$B$4:$B$2662&gt;=M$4)*(Diário!$B$4:$B$2662&lt;=EOMONTH(M$4,0))*(Diário!$F$4:$F$2662))</f>
        <v>0</v>
      </c>
      <c r="N59" s="102">
        <f>SUMPRODUCT((Diário!$E$4:$E$2662='Analítico Cx.'!$B59)*(Diário!$B$4:$B$2662&gt;=N$4)*(Diário!$B$4:$B$2662&lt;=EOMONTH(N$4,0))*(Diário!$F$4:$F$2662))</f>
        <v>0</v>
      </c>
      <c r="O59" s="103">
        <f t="shared" ref="O59:O67" si="15">SUM(C59:N59)</f>
        <v>0</v>
      </c>
      <c r="P59" s="95">
        <f t="shared" ref="P59:P90" si="16">IF($O$191=0,0,O59/$O$191)</f>
        <v>0</v>
      </c>
    </row>
    <row r="60" spans="1:16" ht="23.25" customHeight="1">
      <c r="A60" s="40" t="s">
        <v>17</v>
      </c>
      <c r="B60" s="59" t="s">
        <v>142</v>
      </c>
      <c r="C60" s="102">
        <f>SUMPRODUCT((Diário!$E$4:$E$2662='Analítico Cx.'!$B60)*(Diário!$B$4:$B$2662&gt;=C$4)*(Diário!$B$4:$B$2662&lt;=EOMONTH(C$4,0))*(Diário!$F$4:$F$2662))</f>
        <v>281997.38</v>
      </c>
      <c r="D60" s="102">
        <f>SUMPRODUCT((Diário!$E$4:$E$2662='Analítico Cx.'!$B60)*(Diário!$B$4:$B$2662&gt;=D$4)*(Diário!$B$4:$B$2662&lt;=EOMONTH(D$4,0))*(Diário!$F$4:$F$2662))</f>
        <v>255759.56</v>
      </c>
      <c r="E60" s="102">
        <f>SUMPRODUCT((Diário!$E$4:$E$2662='Analítico Cx.'!$B60)*(Diário!$B$4:$B$2662&gt;=E$4)*(Diário!$B$4:$B$2662&lt;=EOMONTH(E$4,0))*(Diário!$F$4:$F$2662))</f>
        <v>245279.83000000002</v>
      </c>
      <c r="F60" s="102">
        <f>SUMPRODUCT((Diário!$E$4:$E$2662='Analítico Cx.'!$B60)*(Diário!$B$4:$B$2662&gt;=F$4)*(Diário!$B$4:$B$2662&lt;=EOMONTH(F$4,0))*(Diário!$F$4:$F$2662))</f>
        <v>178521.25999999998</v>
      </c>
      <c r="G60" s="102">
        <f>SUMPRODUCT((Diário!$E$4:$E$2662='Analítico Cx.'!$B60)*(Diário!$B$4:$B$2662&gt;=G$4)*(Diário!$B$4:$B$2662&lt;=EOMONTH(G$4,0))*(Diário!$F$4:$F$2662))</f>
        <v>243391.42999999996</v>
      </c>
      <c r="H60" s="102">
        <f>SUMPRODUCT((Diário!$E$4:$E$2662='Analítico Cx.'!$B60)*(Diário!$B$4:$B$2662&gt;=H$4)*(Diário!$B$4:$B$2662&lt;=EOMONTH(H$4,0))*(Diário!$F$4:$F$2662))</f>
        <v>250778.39</v>
      </c>
      <c r="I60" s="102">
        <f>SUMPRODUCT((Diário!$E$4:$E$2662='Analítico Cx.'!$B60)*(Diário!$B$4:$B$2662&gt;=I$4)*(Diário!$B$4:$B$2662&lt;=EOMONTH(I$4,0))*(Diário!$F$4:$F$2662))</f>
        <v>0</v>
      </c>
      <c r="J60" s="102">
        <f>SUMPRODUCT((Diário!$E$4:$E$2662='Analítico Cx.'!$B60)*(Diário!$B$4:$B$2662&gt;=J$4)*(Diário!$B$4:$B$2662&lt;=EOMONTH(J$4,0))*(Diário!$F$4:$F$2662))</f>
        <v>0</v>
      </c>
      <c r="K60" s="102">
        <f>SUMPRODUCT((Diário!$E$4:$E$2662='Analítico Cx.'!$B60)*(Diário!$B$4:$B$2662&gt;=K$4)*(Diário!$B$4:$B$2662&lt;=EOMONTH(K$4,0))*(Diário!$F$4:$F$2662))</f>
        <v>0</v>
      </c>
      <c r="L60" s="102">
        <f>SUMPRODUCT((Diário!$E$4:$E$2662='Analítico Cx.'!$B60)*(Diário!$B$4:$B$2662&gt;=L$4)*(Diário!$B$4:$B$2662&lt;=EOMONTH(L$4,0))*(Diário!$F$4:$F$2662))</f>
        <v>0</v>
      </c>
      <c r="M60" s="102">
        <f>SUMPRODUCT((Diário!$E$4:$E$2662='Analítico Cx.'!$B60)*(Diário!$B$4:$B$2662&gt;=M$4)*(Diário!$B$4:$B$2662&lt;=EOMONTH(M$4,0))*(Diário!$F$4:$F$2662))</f>
        <v>0</v>
      </c>
      <c r="N60" s="102">
        <f>SUMPRODUCT((Diário!$E$4:$E$2662='Analítico Cx.'!$B60)*(Diário!$B$4:$B$2662&gt;=N$4)*(Diário!$B$4:$B$2662&lt;=EOMONTH(N$4,0))*(Diário!$F$4:$F$2662))</f>
        <v>0</v>
      </c>
      <c r="O60" s="103">
        <f t="shared" si="15"/>
        <v>1455727.85</v>
      </c>
      <c r="P60" s="95">
        <f t="shared" si="16"/>
        <v>7.5168830626057573E-2</v>
      </c>
    </row>
    <row r="61" spans="1:16" ht="23.25" customHeight="1">
      <c r="A61" s="40" t="s">
        <v>18</v>
      </c>
      <c r="B61" s="59" t="s">
        <v>3</v>
      </c>
      <c r="C61" s="102">
        <f>SUMPRODUCT((Diário!$E$4:$E$2662='Analítico Cx.'!$B61)*(Diário!$B$4:$B$2662&gt;=C$4)*(Diário!$B$4:$B$2662&lt;=EOMONTH(C$4,0))*(Diário!$F$4:$F$2662))</f>
        <v>0</v>
      </c>
      <c r="D61" s="102">
        <f>SUMPRODUCT((Diário!$E$4:$E$2662='Analítico Cx.'!$B61)*(Diário!$B$4:$B$2662&gt;=D$4)*(Diário!$B$4:$B$2662&lt;=EOMONTH(D$4,0))*(Diário!$F$4:$F$2662))</f>
        <v>0</v>
      </c>
      <c r="E61" s="102">
        <f>SUMPRODUCT((Diário!$E$4:$E$2662='Analítico Cx.'!$B61)*(Diário!$B$4:$B$2662&gt;=E$4)*(Diário!$B$4:$B$2662&lt;=EOMONTH(E$4,0))*(Diário!$F$4:$F$2662))</f>
        <v>0</v>
      </c>
      <c r="F61" s="102">
        <f>SUMPRODUCT((Diário!$E$4:$E$2662='Analítico Cx.'!$B61)*(Diário!$B$4:$B$2662&gt;=F$4)*(Diário!$B$4:$B$2662&lt;=EOMONTH(F$4,0))*(Diário!$F$4:$F$2662))</f>
        <v>0</v>
      </c>
      <c r="G61" s="102">
        <f>SUMPRODUCT((Diário!$E$4:$E$2662='Analítico Cx.'!$B61)*(Diário!$B$4:$B$2662&gt;=G$4)*(Diário!$B$4:$B$2662&lt;=EOMONTH(G$4,0))*(Diário!$F$4:$F$2662))</f>
        <v>0</v>
      </c>
      <c r="H61" s="102">
        <f>SUMPRODUCT((Diário!$E$4:$E$2662='Analítico Cx.'!$B61)*(Diário!$B$4:$B$2662&gt;=H$4)*(Diário!$B$4:$B$2662&lt;=EOMONTH(H$4,0))*(Diário!$F$4:$F$2662))</f>
        <v>0</v>
      </c>
      <c r="I61" s="102">
        <f>SUMPRODUCT((Diário!$E$4:$E$2662='Analítico Cx.'!$B61)*(Diário!$B$4:$B$2662&gt;=I$4)*(Diário!$B$4:$B$2662&lt;=EOMONTH(I$4,0))*(Diário!$F$4:$F$2662))</f>
        <v>0</v>
      </c>
      <c r="J61" s="102">
        <f>SUMPRODUCT((Diário!$E$4:$E$2662='Analítico Cx.'!$B61)*(Diário!$B$4:$B$2662&gt;=J$4)*(Diário!$B$4:$B$2662&lt;=EOMONTH(J$4,0))*(Diário!$F$4:$F$2662))</f>
        <v>0</v>
      </c>
      <c r="K61" s="102">
        <f>SUMPRODUCT((Diário!$E$4:$E$2662='Analítico Cx.'!$B61)*(Diário!$B$4:$B$2662&gt;=K$4)*(Diário!$B$4:$B$2662&lt;=EOMONTH(K$4,0))*(Diário!$F$4:$F$2662))</f>
        <v>0</v>
      </c>
      <c r="L61" s="102">
        <f>SUMPRODUCT((Diário!$E$4:$E$2662='Analítico Cx.'!$B61)*(Diário!$B$4:$B$2662&gt;=L$4)*(Diário!$B$4:$B$2662&lt;=EOMONTH(L$4,0))*(Diário!$F$4:$F$2662))</f>
        <v>0</v>
      </c>
      <c r="M61" s="102">
        <f>SUMPRODUCT((Diário!$E$4:$E$2662='Analítico Cx.'!$B61)*(Diário!$B$4:$B$2662&gt;=M$4)*(Diário!$B$4:$B$2662&lt;=EOMONTH(M$4,0))*(Diário!$F$4:$F$2662))</f>
        <v>0</v>
      </c>
      <c r="N61" s="102">
        <f>SUMPRODUCT((Diário!$E$4:$E$2662='Analítico Cx.'!$B61)*(Diário!$B$4:$B$2662&gt;=N$4)*(Diário!$B$4:$B$2662&lt;=EOMONTH(N$4,0))*(Diário!$F$4:$F$2662))</f>
        <v>0</v>
      </c>
      <c r="O61" s="103">
        <f t="shared" si="15"/>
        <v>0</v>
      </c>
      <c r="P61" s="95">
        <f t="shared" si="16"/>
        <v>0</v>
      </c>
    </row>
    <row r="62" spans="1:16" ht="23.25" customHeight="1">
      <c r="A62" s="40" t="s">
        <v>19</v>
      </c>
      <c r="B62" s="59" t="s">
        <v>58</v>
      </c>
      <c r="C62" s="102">
        <f>SUMPRODUCT((Diário!$E$4:$E$2662='Analítico Cx.'!$B62)*(Diário!$B$4:$B$2662&gt;=C$4)*(Diário!$B$4:$B$2662&lt;=EOMONTH(C$4,0))*(Diário!$F$4:$F$2662))</f>
        <v>0</v>
      </c>
      <c r="D62" s="102">
        <f>SUMPRODUCT((Diário!$E$4:$E$2662='Analítico Cx.'!$B62)*(Diário!$B$4:$B$2662&gt;=D$4)*(Diário!$B$4:$B$2662&lt;=EOMONTH(D$4,0))*(Diário!$F$4:$F$2662))</f>
        <v>0</v>
      </c>
      <c r="E62" s="102">
        <f>SUMPRODUCT((Diário!$E$4:$E$2662='Analítico Cx.'!$B62)*(Diário!$B$4:$B$2662&gt;=E$4)*(Diário!$B$4:$B$2662&lt;=EOMONTH(E$4,0))*(Diário!$F$4:$F$2662))</f>
        <v>0</v>
      </c>
      <c r="F62" s="102">
        <f>SUMPRODUCT((Diário!$E$4:$E$2662='Analítico Cx.'!$B62)*(Diário!$B$4:$B$2662&gt;=F$4)*(Diário!$B$4:$B$2662&lt;=EOMONTH(F$4,0))*(Diário!$F$4:$F$2662))</f>
        <v>0</v>
      </c>
      <c r="G62" s="102">
        <f>SUMPRODUCT((Diário!$E$4:$E$2662='Analítico Cx.'!$B62)*(Diário!$B$4:$B$2662&gt;=G$4)*(Diário!$B$4:$B$2662&lt;=EOMONTH(G$4,0))*(Diário!$F$4:$F$2662))</f>
        <v>0</v>
      </c>
      <c r="H62" s="102">
        <f>SUMPRODUCT((Diário!$E$4:$E$2662='Analítico Cx.'!$B62)*(Diário!$B$4:$B$2662&gt;=H$4)*(Diário!$B$4:$B$2662&lt;=EOMONTH(H$4,0))*(Diário!$F$4:$F$2662))</f>
        <v>0</v>
      </c>
      <c r="I62" s="102">
        <f>SUMPRODUCT((Diário!$E$4:$E$2662='Analítico Cx.'!$B62)*(Diário!$B$4:$B$2662&gt;=I$4)*(Diário!$B$4:$B$2662&lt;=EOMONTH(I$4,0))*(Diário!$F$4:$F$2662))</f>
        <v>0</v>
      </c>
      <c r="J62" s="102">
        <f>SUMPRODUCT((Diário!$E$4:$E$2662='Analítico Cx.'!$B62)*(Diário!$B$4:$B$2662&gt;=J$4)*(Diário!$B$4:$B$2662&lt;=EOMONTH(J$4,0))*(Diário!$F$4:$F$2662))</f>
        <v>0</v>
      </c>
      <c r="K62" s="102">
        <f>SUMPRODUCT((Diário!$E$4:$E$2662='Analítico Cx.'!$B62)*(Diário!$B$4:$B$2662&gt;=K$4)*(Diário!$B$4:$B$2662&lt;=EOMONTH(K$4,0))*(Diário!$F$4:$F$2662))</f>
        <v>0</v>
      </c>
      <c r="L62" s="102">
        <f>SUMPRODUCT((Diário!$E$4:$E$2662='Analítico Cx.'!$B62)*(Diário!$B$4:$B$2662&gt;=L$4)*(Diário!$B$4:$B$2662&lt;=EOMONTH(L$4,0))*(Diário!$F$4:$F$2662))</f>
        <v>0</v>
      </c>
      <c r="M62" s="102">
        <f>SUMPRODUCT((Diário!$E$4:$E$2662='Analítico Cx.'!$B62)*(Diário!$B$4:$B$2662&gt;=M$4)*(Diário!$B$4:$B$2662&lt;=EOMONTH(M$4,0))*(Diário!$F$4:$F$2662))</f>
        <v>0</v>
      </c>
      <c r="N62" s="102">
        <f>SUMPRODUCT((Diário!$E$4:$E$2662='Analítico Cx.'!$B62)*(Diário!$B$4:$B$2662&gt;=N$4)*(Diário!$B$4:$B$2662&lt;=EOMONTH(N$4,0))*(Diário!$F$4:$F$2662))</f>
        <v>0</v>
      </c>
      <c r="O62" s="103">
        <f t="shared" si="15"/>
        <v>0</v>
      </c>
      <c r="P62" s="95">
        <f t="shared" si="16"/>
        <v>0</v>
      </c>
    </row>
    <row r="63" spans="1:16" ht="23.25" customHeight="1">
      <c r="A63" s="40" t="s">
        <v>20</v>
      </c>
      <c r="B63" s="59" t="s">
        <v>73</v>
      </c>
      <c r="C63" s="102">
        <f>SUMPRODUCT((Diário!$E$4:$E$2662='Analítico Cx.'!$B63)*(Diário!$B$4:$B$2662&gt;=C$4)*(Diário!$B$4:$B$2662&lt;=EOMONTH(C$4,0))*(Diário!$F$4:$F$2662))</f>
        <v>0</v>
      </c>
      <c r="D63" s="102">
        <f>SUMPRODUCT((Diário!$E$4:$E$2662='Analítico Cx.'!$B63)*(Diário!$B$4:$B$2662&gt;=D$4)*(Diário!$B$4:$B$2662&lt;=EOMONTH(D$4,0))*(Diário!$F$4:$F$2662))</f>
        <v>0</v>
      </c>
      <c r="E63" s="102">
        <f>SUMPRODUCT((Diário!$E$4:$E$2662='Analítico Cx.'!$B63)*(Diário!$B$4:$B$2662&gt;=E$4)*(Diário!$B$4:$B$2662&lt;=EOMONTH(E$4,0))*(Diário!$F$4:$F$2662))</f>
        <v>0</v>
      </c>
      <c r="F63" s="102">
        <f>SUMPRODUCT((Diário!$E$4:$E$2662='Analítico Cx.'!$B63)*(Diário!$B$4:$B$2662&gt;=F$4)*(Diário!$B$4:$B$2662&lt;=EOMONTH(F$4,0))*(Diário!$F$4:$F$2662))</f>
        <v>0</v>
      </c>
      <c r="G63" s="102">
        <f>SUMPRODUCT((Diário!$E$4:$E$2662='Analítico Cx.'!$B63)*(Diário!$B$4:$B$2662&gt;=G$4)*(Diário!$B$4:$B$2662&lt;=EOMONTH(G$4,0))*(Diário!$F$4:$F$2662))</f>
        <v>0</v>
      </c>
      <c r="H63" s="102">
        <f>SUMPRODUCT((Diário!$E$4:$E$2662='Analítico Cx.'!$B63)*(Diário!$B$4:$B$2662&gt;=H$4)*(Diário!$B$4:$B$2662&lt;=EOMONTH(H$4,0))*(Diário!$F$4:$F$2662))</f>
        <v>0</v>
      </c>
      <c r="I63" s="102">
        <f>SUMPRODUCT((Diário!$E$4:$E$2662='Analítico Cx.'!$B63)*(Diário!$B$4:$B$2662&gt;=I$4)*(Diário!$B$4:$B$2662&lt;=EOMONTH(I$4,0))*(Diário!$F$4:$F$2662))</f>
        <v>0</v>
      </c>
      <c r="J63" s="102">
        <f>SUMPRODUCT((Diário!$E$4:$E$2662='Analítico Cx.'!$B63)*(Diário!$B$4:$B$2662&gt;=J$4)*(Diário!$B$4:$B$2662&lt;=EOMONTH(J$4,0))*(Diário!$F$4:$F$2662))</f>
        <v>0</v>
      </c>
      <c r="K63" s="102">
        <f>SUMPRODUCT((Diário!$E$4:$E$2662='Analítico Cx.'!$B63)*(Diário!$B$4:$B$2662&gt;=K$4)*(Diário!$B$4:$B$2662&lt;=EOMONTH(K$4,0))*(Diário!$F$4:$F$2662))</f>
        <v>0</v>
      </c>
      <c r="L63" s="102">
        <f>SUMPRODUCT((Diário!$E$4:$E$2662='Analítico Cx.'!$B63)*(Diário!$B$4:$B$2662&gt;=L$4)*(Diário!$B$4:$B$2662&lt;=EOMONTH(L$4,0))*(Diário!$F$4:$F$2662))</f>
        <v>0</v>
      </c>
      <c r="M63" s="102">
        <f>SUMPRODUCT((Diário!$E$4:$E$2662='Analítico Cx.'!$B63)*(Diário!$B$4:$B$2662&gt;=M$4)*(Diário!$B$4:$B$2662&lt;=EOMONTH(M$4,0))*(Diário!$F$4:$F$2662))</f>
        <v>0</v>
      </c>
      <c r="N63" s="102">
        <f>SUMPRODUCT((Diário!$E$4:$E$2662='Analítico Cx.'!$B63)*(Diário!$B$4:$B$2662&gt;=N$4)*(Diário!$B$4:$B$2662&lt;=EOMONTH(N$4,0))*(Diário!$F$4:$F$2662))</f>
        <v>0</v>
      </c>
      <c r="O63" s="103">
        <f t="shared" si="15"/>
        <v>0</v>
      </c>
      <c r="P63" s="95">
        <f t="shared" si="16"/>
        <v>0</v>
      </c>
    </row>
    <row r="64" spans="1:16" ht="23.25" customHeight="1">
      <c r="A64" s="40" t="s">
        <v>104</v>
      </c>
      <c r="B64" s="59" t="s">
        <v>72</v>
      </c>
      <c r="C64" s="102">
        <f>SUMPRODUCT((Diário!$E$4:$E$2662='Analítico Cx.'!$B64)*(Diário!$B$4:$B$2662&gt;=C$4)*(Diário!$B$4:$B$2662&lt;=EOMONTH(C$4,0))*(Diário!$F$4:$F$2662))</f>
        <v>0</v>
      </c>
      <c r="D64" s="102">
        <f>SUMPRODUCT((Diário!$E$4:$E$2662='Analítico Cx.'!$B64)*(Diário!$B$4:$B$2662&gt;=D$4)*(Diário!$B$4:$B$2662&lt;=EOMONTH(D$4,0))*(Diário!$F$4:$F$2662))</f>
        <v>0</v>
      </c>
      <c r="E64" s="102">
        <f>SUMPRODUCT((Diário!$E$4:$E$2662='Analítico Cx.'!$B64)*(Diário!$B$4:$B$2662&gt;=E$4)*(Diário!$B$4:$B$2662&lt;=EOMONTH(E$4,0))*(Diário!$F$4:$F$2662))</f>
        <v>0</v>
      </c>
      <c r="F64" s="102">
        <f>SUMPRODUCT((Diário!$E$4:$E$2662='Analítico Cx.'!$B64)*(Diário!$B$4:$B$2662&gt;=F$4)*(Diário!$B$4:$B$2662&lt;=EOMONTH(F$4,0))*(Diário!$F$4:$F$2662))</f>
        <v>0</v>
      </c>
      <c r="G64" s="102">
        <f>SUMPRODUCT((Diário!$E$4:$E$2662='Analítico Cx.'!$B64)*(Diário!$B$4:$B$2662&gt;=G$4)*(Diário!$B$4:$B$2662&lt;=EOMONTH(G$4,0))*(Diário!$F$4:$F$2662))</f>
        <v>0</v>
      </c>
      <c r="H64" s="102">
        <f>SUMPRODUCT((Diário!$E$4:$E$2662='Analítico Cx.'!$B64)*(Diário!$B$4:$B$2662&gt;=H$4)*(Diário!$B$4:$B$2662&lt;=EOMONTH(H$4,0))*(Diário!$F$4:$F$2662))</f>
        <v>0</v>
      </c>
      <c r="I64" s="102">
        <f>SUMPRODUCT((Diário!$E$4:$E$2662='Analítico Cx.'!$B64)*(Diário!$B$4:$B$2662&gt;=I$4)*(Diário!$B$4:$B$2662&lt;=EOMONTH(I$4,0))*(Diário!$F$4:$F$2662))</f>
        <v>0</v>
      </c>
      <c r="J64" s="102">
        <f>SUMPRODUCT((Diário!$E$4:$E$2662='Analítico Cx.'!$B64)*(Diário!$B$4:$B$2662&gt;=J$4)*(Diário!$B$4:$B$2662&lt;=EOMONTH(J$4,0))*(Diário!$F$4:$F$2662))</f>
        <v>0</v>
      </c>
      <c r="K64" s="102">
        <f>SUMPRODUCT((Diário!$E$4:$E$2662='Analítico Cx.'!$B64)*(Diário!$B$4:$B$2662&gt;=K$4)*(Diário!$B$4:$B$2662&lt;=EOMONTH(K$4,0))*(Diário!$F$4:$F$2662))</f>
        <v>0</v>
      </c>
      <c r="L64" s="102">
        <f>SUMPRODUCT((Diário!$E$4:$E$2662='Analítico Cx.'!$B64)*(Diário!$B$4:$B$2662&gt;=L$4)*(Diário!$B$4:$B$2662&lt;=EOMONTH(L$4,0))*(Diário!$F$4:$F$2662))</f>
        <v>0</v>
      </c>
      <c r="M64" s="102">
        <f>SUMPRODUCT((Diário!$E$4:$E$2662='Analítico Cx.'!$B64)*(Diário!$B$4:$B$2662&gt;=M$4)*(Diário!$B$4:$B$2662&lt;=EOMONTH(M$4,0))*(Diário!$F$4:$F$2662))</f>
        <v>0</v>
      </c>
      <c r="N64" s="102">
        <f>SUMPRODUCT((Diário!$E$4:$E$2662='Analítico Cx.'!$B64)*(Diário!$B$4:$B$2662&gt;=N$4)*(Diário!$B$4:$B$2662&lt;=EOMONTH(N$4,0))*(Diário!$F$4:$F$2662))</f>
        <v>0</v>
      </c>
      <c r="O64" s="103">
        <f t="shared" si="15"/>
        <v>0</v>
      </c>
      <c r="P64" s="95">
        <f t="shared" si="16"/>
        <v>0</v>
      </c>
    </row>
    <row r="65" spans="1:16" ht="23.25" customHeight="1">
      <c r="A65" s="40" t="s">
        <v>105</v>
      </c>
      <c r="B65" s="59" t="s">
        <v>150</v>
      </c>
      <c r="C65" s="102">
        <f>SUMPRODUCT((Diário!$E$4:$E$2662='Analítico Cx.'!$B65)*(Diário!$B$4:$B$2662&gt;=C$4)*(Diário!$B$4:$B$2662&lt;=EOMONTH(C$4,0))*(Diário!$F$4:$F$2662))</f>
        <v>907.4</v>
      </c>
      <c r="D65" s="102">
        <f>SUMPRODUCT((Diário!$E$4:$E$2662='Analítico Cx.'!$B65)*(Diário!$B$4:$B$2662&gt;=D$4)*(Diário!$B$4:$B$2662&lt;=EOMONTH(D$4,0))*(Diário!$F$4:$F$2662))</f>
        <v>0</v>
      </c>
      <c r="E65" s="102">
        <f>SUMPRODUCT((Diário!$E$4:$E$2662='Analítico Cx.'!$B65)*(Diário!$B$4:$B$2662&gt;=E$4)*(Diário!$B$4:$B$2662&lt;=EOMONTH(E$4,0))*(Diário!$F$4:$F$2662))</f>
        <v>887.58</v>
      </c>
      <c r="F65" s="102">
        <f>SUMPRODUCT((Diário!$E$4:$E$2662='Analítico Cx.'!$B65)*(Diário!$B$4:$B$2662&gt;=F$4)*(Diário!$B$4:$B$2662&lt;=EOMONTH(F$4,0))*(Diário!$F$4:$F$2662))</f>
        <v>1075.95</v>
      </c>
      <c r="G65" s="102">
        <f>SUMPRODUCT((Diário!$E$4:$E$2662='Analítico Cx.'!$B65)*(Diário!$B$4:$B$2662&gt;=G$4)*(Diário!$B$4:$B$2662&lt;=EOMONTH(G$4,0))*(Diário!$F$4:$F$2662))</f>
        <v>1075.95</v>
      </c>
      <c r="H65" s="102">
        <f>SUMPRODUCT((Diário!$E$4:$E$2662='Analítico Cx.'!$B65)*(Diário!$B$4:$B$2662&gt;=H$4)*(Diário!$B$4:$B$2662&lt;=EOMONTH(H$4,0))*(Diário!$F$4:$F$2662))</f>
        <v>887.58</v>
      </c>
      <c r="I65" s="102">
        <f>SUMPRODUCT((Diário!$E$4:$E$2662='Analítico Cx.'!$B65)*(Diário!$B$4:$B$2662&gt;=I$4)*(Diário!$B$4:$B$2662&lt;=EOMONTH(I$4,0))*(Diário!$F$4:$F$2662))</f>
        <v>0</v>
      </c>
      <c r="J65" s="102">
        <f>SUMPRODUCT((Diário!$E$4:$E$2662='Analítico Cx.'!$B65)*(Diário!$B$4:$B$2662&gt;=J$4)*(Diário!$B$4:$B$2662&lt;=EOMONTH(J$4,0))*(Diário!$F$4:$F$2662))</f>
        <v>0</v>
      </c>
      <c r="K65" s="102">
        <f>SUMPRODUCT((Diário!$E$4:$E$2662='Analítico Cx.'!$B65)*(Diário!$B$4:$B$2662&gt;=K$4)*(Diário!$B$4:$B$2662&lt;=EOMONTH(K$4,0))*(Diário!$F$4:$F$2662))</f>
        <v>0</v>
      </c>
      <c r="L65" s="102">
        <f>SUMPRODUCT((Diário!$E$4:$E$2662='Analítico Cx.'!$B65)*(Diário!$B$4:$B$2662&gt;=L$4)*(Diário!$B$4:$B$2662&lt;=EOMONTH(L$4,0))*(Diário!$F$4:$F$2662))</f>
        <v>0</v>
      </c>
      <c r="M65" s="102">
        <f>SUMPRODUCT((Diário!$E$4:$E$2662='Analítico Cx.'!$B65)*(Diário!$B$4:$B$2662&gt;=M$4)*(Diário!$B$4:$B$2662&lt;=EOMONTH(M$4,0))*(Diário!$F$4:$F$2662))</f>
        <v>0</v>
      </c>
      <c r="N65" s="102">
        <f>SUMPRODUCT((Diário!$E$4:$E$2662='Analítico Cx.'!$B65)*(Diário!$B$4:$B$2662&gt;=N$4)*(Diário!$B$4:$B$2662&lt;=EOMONTH(N$4,0))*(Diário!$F$4:$F$2662))</f>
        <v>0</v>
      </c>
      <c r="O65" s="103">
        <f t="shared" si="15"/>
        <v>4834.46</v>
      </c>
      <c r="P65" s="95">
        <f t="shared" si="16"/>
        <v>2.4963505706677953E-4</v>
      </c>
    </row>
    <row r="66" spans="1:16" ht="23.25" customHeight="1">
      <c r="A66" s="40" t="s">
        <v>106</v>
      </c>
      <c r="B66" s="59" t="s">
        <v>151</v>
      </c>
      <c r="C66" s="102">
        <f>SUMPRODUCT((Diário!$E$4:$E$2662='Analítico Cx.'!$B66)*(Diário!$B$4:$B$2662&gt;=C$4)*(Diário!$B$4:$B$2662&lt;=EOMONTH(C$4,0))*(Diário!$F$4:$F$2662))</f>
        <v>1240.3200000000002</v>
      </c>
      <c r="D66" s="102">
        <f>SUMPRODUCT((Diário!$E$4:$E$2662='Analítico Cx.'!$B66)*(Diário!$B$4:$B$2662&gt;=D$4)*(Diário!$B$4:$B$2662&lt;=EOMONTH(D$4,0))*(Diário!$F$4:$F$2662))</f>
        <v>1240.32</v>
      </c>
      <c r="E66" s="102">
        <f>SUMPRODUCT((Diário!$E$4:$E$2662='Analítico Cx.'!$B66)*(Diário!$B$4:$B$2662&gt;=E$4)*(Diário!$B$4:$B$2662&lt;=EOMONTH(E$4,0))*(Diário!$F$4:$F$2662))</f>
        <v>1492.3200000000002</v>
      </c>
      <c r="F66" s="102">
        <f>SUMPRODUCT((Diário!$E$4:$E$2662='Analítico Cx.'!$B66)*(Diário!$B$4:$B$2662&gt;=F$4)*(Diário!$B$4:$B$2662&lt;=EOMONTH(F$4,0))*(Diário!$F$4:$F$2662))</f>
        <v>966.27</v>
      </c>
      <c r="G66" s="102">
        <f>SUMPRODUCT((Diário!$E$4:$E$2662='Analítico Cx.'!$B66)*(Diário!$B$4:$B$2662&gt;=G$4)*(Diário!$B$4:$B$2662&lt;=EOMONTH(G$4,0))*(Diário!$F$4:$F$2662))</f>
        <v>966.27</v>
      </c>
      <c r="H66" s="102">
        <f>SUMPRODUCT((Diário!$E$4:$E$2662='Analítico Cx.'!$B66)*(Diário!$B$4:$B$2662&gt;=H$4)*(Diário!$B$4:$B$2662&lt;=EOMONTH(H$4,0))*(Diário!$F$4:$F$2662))</f>
        <v>1154.6400000000001</v>
      </c>
      <c r="I66" s="102">
        <f>SUMPRODUCT((Diário!$E$4:$E$2662='Analítico Cx.'!$B66)*(Diário!$B$4:$B$2662&gt;=I$4)*(Diário!$B$4:$B$2662&lt;=EOMONTH(I$4,0))*(Diário!$F$4:$F$2662))</f>
        <v>0</v>
      </c>
      <c r="J66" s="102">
        <f>SUMPRODUCT((Diário!$E$4:$E$2662='Analítico Cx.'!$B66)*(Diário!$B$4:$B$2662&gt;=J$4)*(Diário!$B$4:$B$2662&lt;=EOMONTH(J$4,0))*(Diário!$F$4:$F$2662))</f>
        <v>0</v>
      </c>
      <c r="K66" s="102">
        <f>SUMPRODUCT((Diário!$E$4:$E$2662='Analítico Cx.'!$B66)*(Diário!$B$4:$B$2662&gt;=K$4)*(Diário!$B$4:$B$2662&lt;=EOMONTH(K$4,0))*(Diário!$F$4:$F$2662))</f>
        <v>0</v>
      </c>
      <c r="L66" s="102">
        <f>SUMPRODUCT((Diário!$E$4:$E$2662='Analítico Cx.'!$B66)*(Diário!$B$4:$B$2662&gt;=L$4)*(Diário!$B$4:$B$2662&lt;=EOMONTH(L$4,0))*(Diário!$F$4:$F$2662))</f>
        <v>0</v>
      </c>
      <c r="M66" s="102">
        <f>SUMPRODUCT((Diário!$E$4:$E$2662='Analítico Cx.'!$B66)*(Diário!$B$4:$B$2662&gt;=M$4)*(Diário!$B$4:$B$2662&lt;=EOMONTH(M$4,0))*(Diário!$F$4:$F$2662))</f>
        <v>0</v>
      </c>
      <c r="N66" s="102">
        <f>SUMPRODUCT((Diário!$E$4:$E$2662='Analítico Cx.'!$B66)*(Diário!$B$4:$B$2662&gt;=N$4)*(Diário!$B$4:$B$2662&lt;=EOMONTH(N$4,0))*(Diário!$F$4:$F$2662))</f>
        <v>0</v>
      </c>
      <c r="O66" s="103">
        <f t="shared" si="15"/>
        <v>7060.14</v>
      </c>
      <c r="P66" s="95">
        <f t="shared" si="16"/>
        <v>3.6456159566931011E-4</v>
      </c>
    </row>
    <row r="67" spans="1:16" ht="23.25" customHeight="1">
      <c r="A67" s="40" t="s">
        <v>107</v>
      </c>
      <c r="B67" s="59" t="s">
        <v>167</v>
      </c>
      <c r="C67" s="102">
        <f>SUMPRODUCT((Diário!$E$4:$E$2662='Analítico Cx.'!$B67)*(Diário!$B$4:$B$2662&gt;=C$4)*(Diário!$B$4:$B$2662&lt;=EOMONTH(C$4,0))*(Diário!$F$4:$F$2662))</f>
        <v>1390.37</v>
      </c>
      <c r="D67" s="102">
        <f>SUMPRODUCT((Diário!$E$4:$E$2662='Analítico Cx.'!$B67)*(Diário!$B$4:$B$2662&gt;=D$4)*(Diário!$B$4:$B$2662&lt;=EOMONTH(D$4,0))*(Diário!$F$4:$F$2662))</f>
        <v>259.21000000000004</v>
      </c>
      <c r="E67" s="102">
        <f>SUMPRODUCT((Diário!$E$4:$E$2662='Analítico Cx.'!$B67)*(Diário!$B$4:$B$2662&gt;=E$4)*(Diário!$B$4:$B$2662&lt;=EOMONTH(E$4,0))*(Diário!$F$4:$F$2662))</f>
        <v>2517.85</v>
      </c>
      <c r="F67" s="102">
        <f>SUMPRODUCT((Diário!$E$4:$E$2662='Analítico Cx.'!$B67)*(Diário!$B$4:$B$2662&gt;=F$4)*(Diário!$B$4:$B$2662&lt;=EOMONTH(F$4,0))*(Diário!$F$4:$F$2662))</f>
        <v>1387.59</v>
      </c>
      <c r="G67" s="102">
        <f>SUMPRODUCT((Diário!$E$4:$E$2662='Analítico Cx.'!$B67)*(Diário!$B$4:$B$2662&gt;=G$4)*(Diário!$B$4:$B$2662&lt;=EOMONTH(G$4,0))*(Diário!$F$4:$F$2662))</f>
        <v>1388.53</v>
      </c>
      <c r="H67" s="102">
        <f>SUMPRODUCT((Diário!$E$4:$E$2662='Analítico Cx.'!$B67)*(Diário!$B$4:$B$2662&gt;=H$4)*(Diário!$B$4:$B$2662&lt;=EOMONTH(H$4,0))*(Diário!$F$4:$F$2662))</f>
        <v>1386.17</v>
      </c>
      <c r="I67" s="102">
        <f>SUMPRODUCT((Diário!$E$4:$E$2662='Analítico Cx.'!$B67)*(Diário!$B$4:$B$2662&gt;=I$4)*(Diário!$B$4:$B$2662&lt;=EOMONTH(I$4,0))*(Diário!$F$4:$F$2662))</f>
        <v>0</v>
      </c>
      <c r="J67" s="102">
        <f>SUMPRODUCT((Diário!$E$4:$E$2662='Analítico Cx.'!$B67)*(Diário!$B$4:$B$2662&gt;=J$4)*(Diário!$B$4:$B$2662&lt;=EOMONTH(J$4,0))*(Diário!$F$4:$F$2662))</f>
        <v>0</v>
      </c>
      <c r="K67" s="102">
        <f>SUMPRODUCT((Diário!$E$4:$E$2662='Analítico Cx.'!$B67)*(Diário!$B$4:$B$2662&gt;=K$4)*(Diário!$B$4:$B$2662&lt;=EOMONTH(K$4,0))*(Diário!$F$4:$F$2662))</f>
        <v>0</v>
      </c>
      <c r="L67" s="102">
        <f>SUMPRODUCT((Diário!$E$4:$E$2662='Analítico Cx.'!$B67)*(Diário!$B$4:$B$2662&gt;=L$4)*(Diário!$B$4:$B$2662&lt;=EOMONTH(L$4,0))*(Diário!$F$4:$F$2662))</f>
        <v>0</v>
      </c>
      <c r="M67" s="102">
        <f>SUMPRODUCT((Diário!$E$4:$E$2662='Analítico Cx.'!$B67)*(Diário!$B$4:$B$2662&gt;=M$4)*(Diário!$B$4:$B$2662&lt;=EOMONTH(M$4,0))*(Diário!$F$4:$F$2662))</f>
        <v>0</v>
      </c>
      <c r="N67" s="102">
        <f>SUMPRODUCT((Diário!$E$4:$E$2662='Analítico Cx.'!$B67)*(Diário!$B$4:$B$2662&gt;=N$4)*(Diário!$B$4:$B$2662&lt;=EOMONTH(N$4,0))*(Diário!$F$4:$F$2662))</f>
        <v>0</v>
      </c>
      <c r="O67" s="103">
        <f t="shared" si="15"/>
        <v>8329.7200000000012</v>
      </c>
      <c r="P67" s="95">
        <f t="shared" si="16"/>
        <v>4.3011838500066091E-4</v>
      </c>
    </row>
    <row r="68" spans="1:16" ht="23.25" customHeight="1">
      <c r="A68" s="40" t="s">
        <v>108</v>
      </c>
      <c r="B68" s="59" t="s">
        <v>164</v>
      </c>
      <c r="C68" s="102">
        <f>SUMPRODUCT((Diário!$E$4:$E$2662='Analítico Cx.'!$B68)*(Diário!$B$4:$B$2662&gt;=C$4)*(Diário!$B$4:$B$2662&lt;=EOMONTH(C$4,0))*(Diário!$F$4:$F$2662))</f>
        <v>16548.489999999998</v>
      </c>
      <c r="D68" s="102">
        <f>SUMPRODUCT((Diário!$E$4:$E$2662='Analítico Cx.'!$B68)*(Diário!$B$4:$B$2662&gt;=D$4)*(Diário!$B$4:$B$2662&lt;=EOMONTH(D$4,0))*(Diário!$F$4:$F$2662))</f>
        <v>34449.259999999995</v>
      </c>
      <c r="E68" s="102">
        <f>SUMPRODUCT((Diário!$E$4:$E$2662='Analítico Cx.'!$B68)*(Diário!$B$4:$B$2662&gt;=E$4)*(Diário!$B$4:$B$2662&lt;=EOMONTH(E$4,0))*(Diário!$F$4:$F$2662))</f>
        <v>17857.050000000003</v>
      </c>
      <c r="F68" s="102">
        <f>SUMPRODUCT((Diário!$E$4:$E$2662='Analítico Cx.'!$B68)*(Diário!$B$4:$B$2662&gt;=F$4)*(Diário!$B$4:$B$2662&lt;=EOMONTH(F$4,0))*(Diário!$F$4:$F$2662))</f>
        <v>0</v>
      </c>
      <c r="G68" s="102">
        <f>SUMPRODUCT((Diário!$E$4:$E$2662='Analítico Cx.'!$B68)*(Diário!$B$4:$B$2662&gt;=G$4)*(Diário!$B$4:$B$2662&lt;=EOMONTH(G$4,0))*(Diário!$F$4:$F$2662))</f>
        <v>0</v>
      </c>
      <c r="H68" s="102">
        <f>SUMPRODUCT((Diário!$E$4:$E$2662='Analítico Cx.'!$B68)*(Diário!$B$4:$B$2662&gt;=H$4)*(Diário!$B$4:$B$2662&lt;=EOMONTH(H$4,0))*(Diário!$F$4:$F$2662))</f>
        <v>0</v>
      </c>
      <c r="I68" s="102">
        <f>SUMPRODUCT((Diário!$E$4:$E$2662='Analítico Cx.'!$B68)*(Diário!$B$4:$B$2662&gt;=I$4)*(Diário!$B$4:$B$2662&lt;=EOMONTH(I$4,0))*(Diário!$F$4:$F$2662))</f>
        <v>0</v>
      </c>
      <c r="J68" s="102">
        <f>SUMPRODUCT((Diário!$E$4:$E$2662='Analítico Cx.'!$B68)*(Diário!$B$4:$B$2662&gt;=J$4)*(Diário!$B$4:$B$2662&lt;=EOMONTH(J$4,0))*(Diário!$F$4:$F$2662))</f>
        <v>0</v>
      </c>
      <c r="K68" s="102">
        <f>SUMPRODUCT((Diário!$E$4:$E$2662='Analítico Cx.'!$B68)*(Diário!$B$4:$B$2662&gt;=K$4)*(Diário!$B$4:$B$2662&lt;=EOMONTH(K$4,0))*(Diário!$F$4:$F$2662))</f>
        <v>0</v>
      </c>
      <c r="L68" s="102">
        <f>SUMPRODUCT((Diário!$E$4:$E$2662='Analítico Cx.'!$B68)*(Diário!$B$4:$B$2662&gt;=L$4)*(Diário!$B$4:$B$2662&lt;=EOMONTH(L$4,0))*(Diário!$F$4:$F$2662))</f>
        <v>0</v>
      </c>
      <c r="M68" s="102">
        <f>SUMPRODUCT((Diário!$E$4:$E$2662='Analítico Cx.'!$B68)*(Diário!$B$4:$B$2662&gt;=M$4)*(Diário!$B$4:$B$2662&lt;=EOMONTH(M$4,0))*(Diário!$F$4:$F$2662))</f>
        <v>0</v>
      </c>
      <c r="N68" s="102">
        <f>SUMPRODUCT((Diário!$E$4:$E$2662='Analítico Cx.'!$B68)*(Diário!$B$4:$B$2662&gt;=N$4)*(Diário!$B$4:$B$2662&lt;=EOMONTH(N$4,0))*(Diário!$F$4:$F$2662))</f>
        <v>0</v>
      </c>
      <c r="O68" s="103">
        <f t="shared" ref="O68:O115" si="17">SUM(C68:N68)</f>
        <v>68854.799999999988</v>
      </c>
      <c r="P68" s="95">
        <f t="shared" si="16"/>
        <v>3.5554274784198626E-3</v>
      </c>
    </row>
    <row r="69" spans="1:16" ht="23.25" customHeight="1">
      <c r="A69" s="40" t="s">
        <v>109</v>
      </c>
      <c r="B69" s="59" t="s">
        <v>52</v>
      </c>
      <c r="C69" s="102">
        <f>SUMPRODUCT((Diário!$E$4:$E$2662='Analítico Cx.'!$B69)*(Diário!$B$4:$B$2662&gt;=C$4)*(Diário!$B$4:$B$2662&lt;=EOMONTH(C$4,0))*(Diário!$F$4:$F$2662))</f>
        <v>8075</v>
      </c>
      <c r="D69" s="102">
        <f>SUMPRODUCT((Diário!$E$4:$E$2662='Analítico Cx.'!$B69)*(Diário!$B$4:$B$2662&gt;=D$4)*(Diário!$B$4:$B$2662&lt;=EOMONTH(D$4,0))*(Diário!$F$4:$F$2662))</f>
        <v>8500</v>
      </c>
      <c r="E69" s="102">
        <f>SUMPRODUCT((Diário!$E$4:$E$2662='Analítico Cx.'!$B69)*(Diário!$B$4:$B$2662&gt;=E$4)*(Diário!$B$4:$B$2662&lt;=EOMONTH(E$4,0))*(Diário!$F$4:$F$2662))</f>
        <v>8500</v>
      </c>
      <c r="F69" s="102">
        <f>SUMPRODUCT((Diário!$E$4:$E$2662='Analítico Cx.'!$B69)*(Diário!$B$4:$B$2662&gt;=F$4)*(Diário!$B$4:$B$2662&lt;=EOMONTH(F$4,0))*(Diário!$F$4:$F$2662))</f>
        <v>8500</v>
      </c>
      <c r="G69" s="102">
        <f>SUMPRODUCT((Diário!$E$4:$E$2662='Analítico Cx.'!$B69)*(Diário!$B$4:$B$2662&gt;=G$4)*(Diário!$B$4:$B$2662&lt;=EOMONTH(G$4,0))*(Diário!$F$4:$F$2662))</f>
        <v>8500</v>
      </c>
      <c r="H69" s="102">
        <f>SUMPRODUCT((Diário!$E$4:$E$2662='Analítico Cx.'!$B69)*(Diário!$B$4:$B$2662&gt;=H$4)*(Diário!$B$4:$B$2662&lt;=EOMONTH(H$4,0))*(Diário!$F$4:$F$2662))</f>
        <v>8500</v>
      </c>
      <c r="I69" s="102">
        <f>SUMPRODUCT((Diário!$E$4:$E$2662='Analítico Cx.'!$B69)*(Diário!$B$4:$B$2662&gt;=I$4)*(Diário!$B$4:$B$2662&lt;=EOMONTH(I$4,0))*(Diário!$F$4:$F$2662))</f>
        <v>0</v>
      </c>
      <c r="J69" s="102">
        <f>SUMPRODUCT((Diário!$E$4:$E$2662='Analítico Cx.'!$B69)*(Diário!$B$4:$B$2662&gt;=J$4)*(Diário!$B$4:$B$2662&lt;=EOMONTH(J$4,0))*(Diário!$F$4:$F$2662))</f>
        <v>0</v>
      </c>
      <c r="K69" s="102">
        <f>SUMPRODUCT((Diário!$E$4:$E$2662='Analítico Cx.'!$B69)*(Diário!$B$4:$B$2662&gt;=K$4)*(Diário!$B$4:$B$2662&lt;=EOMONTH(K$4,0))*(Diário!$F$4:$F$2662))</f>
        <v>0</v>
      </c>
      <c r="L69" s="102">
        <f>SUMPRODUCT((Diário!$E$4:$E$2662='Analítico Cx.'!$B69)*(Diário!$B$4:$B$2662&gt;=L$4)*(Diário!$B$4:$B$2662&lt;=EOMONTH(L$4,0))*(Diário!$F$4:$F$2662))</f>
        <v>0</v>
      </c>
      <c r="M69" s="102">
        <f>SUMPRODUCT((Diário!$E$4:$E$2662='Analítico Cx.'!$B69)*(Diário!$B$4:$B$2662&gt;=M$4)*(Diário!$B$4:$B$2662&lt;=EOMONTH(M$4,0))*(Diário!$F$4:$F$2662))</f>
        <v>0</v>
      </c>
      <c r="N69" s="102">
        <f>SUMPRODUCT((Diário!$E$4:$E$2662='Analítico Cx.'!$B69)*(Diário!$B$4:$B$2662&gt;=N$4)*(Diário!$B$4:$B$2662&lt;=EOMONTH(N$4,0))*(Diário!$F$4:$F$2662))</f>
        <v>0</v>
      </c>
      <c r="O69" s="103">
        <f t="shared" si="17"/>
        <v>50575</v>
      </c>
      <c r="P69" s="95">
        <f t="shared" si="16"/>
        <v>2.6115208340026343E-3</v>
      </c>
    </row>
    <row r="70" spans="1:16" ht="23.25" customHeight="1">
      <c r="A70" s="40" t="s">
        <v>110</v>
      </c>
      <c r="B70" s="59" t="s">
        <v>9</v>
      </c>
      <c r="C70" s="102">
        <f>SUMPRODUCT((Diário!$E$4:$E$2662='Analítico Cx.'!$B70)*(Diário!$B$4:$B$2662&gt;=C$4)*(Diário!$B$4:$B$2662&lt;=EOMONTH(C$4,0))*(Diário!$F$4:$F$2662))</f>
        <v>6714.95</v>
      </c>
      <c r="D70" s="102">
        <f>SUMPRODUCT((Diário!$E$4:$E$2662='Analítico Cx.'!$B70)*(Diário!$B$4:$B$2662&gt;=D$4)*(Diário!$B$4:$B$2662&lt;=EOMONTH(D$4,0))*(Diário!$F$4:$F$2662))</f>
        <v>11260.27</v>
      </c>
      <c r="E70" s="102">
        <f>SUMPRODUCT((Diário!$E$4:$E$2662='Analítico Cx.'!$B70)*(Diário!$B$4:$B$2662&gt;=E$4)*(Diário!$B$4:$B$2662&lt;=EOMONTH(E$4,0))*(Diário!$F$4:$F$2662))</f>
        <v>11484.49</v>
      </c>
      <c r="F70" s="102">
        <f>SUMPRODUCT((Diário!$E$4:$E$2662='Analítico Cx.'!$B70)*(Diário!$B$4:$B$2662&gt;=F$4)*(Diário!$B$4:$B$2662&lt;=EOMONTH(F$4,0))*(Diário!$F$4:$F$2662))</f>
        <v>11542.43</v>
      </c>
      <c r="G70" s="102">
        <f>SUMPRODUCT((Diário!$E$4:$E$2662='Analítico Cx.'!$B70)*(Diário!$B$4:$B$2662&gt;=G$4)*(Diário!$B$4:$B$2662&lt;=EOMONTH(G$4,0))*(Diário!$F$4:$F$2662))</f>
        <v>11498.269999999999</v>
      </c>
      <c r="H70" s="102">
        <f>SUMPRODUCT((Diário!$E$4:$E$2662='Analítico Cx.'!$B70)*(Diário!$B$4:$B$2662&gt;=H$4)*(Diário!$B$4:$B$2662&lt;=EOMONTH(H$4,0))*(Diário!$F$4:$F$2662))</f>
        <v>656.86</v>
      </c>
      <c r="I70" s="102">
        <f>SUMPRODUCT((Diário!$E$4:$E$2662='Analítico Cx.'!$B70)*(Diário!$B$4:$B$2662&gt;=I$4)*(Diário!$B$4:$B$2662&lt;=EOMONTH(I$4,0))*(Diário!$F$4:$F$2662))</f>
        <v>0</v>
      </c>
      <c r="J70" s="102">
        <f>SUMPRODUCT((Diário!$E$4:$E$2662='Analítico Cx.'!$B70)*(Diário!$B$4:$B$2662&gt;=J$4)*(Diário!$B$4:$B$2662&lt;=EOMONTH(J$4,0))*(Diário!$F$4:$F$2662))</f>
        <v>0</v>
      </c>
      <c r="K70" s="102">
        <f>SUMPRODUCT((Diário!$E$4:$E$2662='Analítico Cx.'!$B70)*(Diário!$B$4:$B$2662&gt;=K$4)*(Diário!$B$4:$B$2662&lt;=EOMONTH(K$4,0))*(Diário!$F$4:$F$2662))</f>
        <v>0</v>
      </c>
      <c r="L70" s="102">
        <f>SUMPRODUCT((Diário!$E$4:$E$2662='Analítico Cx.'!$B70)*(Diário!$B$4:$B$2662&gt;=L$4)*(Diário!$B$4:$B$2662&lt;=EOMONTH(L$4,0))*(Diário!$F$4:$F$2662))</f>
        <v>0</v>
      </c>
      <c r="M70" s="102">
        <f>SUMPRODUCT((Diário!$E$4:$E$2662='Analítico Cx.'!$B70)*(Diário!$B$4:$B$2662&gt;=M$4)*(Diário!$B$4:$B$2662&lt;=EOMONTH(M$4,0))*(Diário!$F$4:$F$2662))</f>
        <v>0</v>
      </c>
      <c r="N70" s="102">
        <f>SUMPRODUCT((Diário!$E$4:$E$2662='Analítico Cx.'!$B70)*(Diário!$B$4:$B$2662&gt;=N$4)*(Diário!$B$4:$B$2662&lt;=EOMONTH(N$4,0))*(Diário!$F$4:$F$2662))</f>
        <v>0</v>
      </c>
      <c r="O70" s="103">
        <f t="shared" si="17"/>
        <v>53157.27</v>
      </c>
      <c r="P70" s="95">
        <f t="shared" si="16"/>
        <v>2.7448604663114821E-3</v>
      </c>
    </row>
    <row r="71" spans="1:16" ht="23.25" customHeight="1">
      <c r="A71" s="40" t="s">
        <v>111</v>
      </c>
      <c r="B71" s="59" t="s">
        <v>288</v>
      </c>
      <c r="C71" s="102">
        <f>SUMPRODUCT((Diário!$E$4:$E$2662='Analítico Cx.'!$B71)*(Diário!$B$4:$B$2662&gt;=C$4)*(Diário!$B$4:$B$2662&lt;=EOMONTH(C$4,0))*(Diário!$F$4:$F$2662))</f>
        <v>2918.16</v>
      </c>
      <c r="D71" s="102">
        <f>SUMPRODUCT((Diário!$E$4:$E$2662='Analítico Cx.'!$B71)*(Diário!$B$4:$B$2662&gt;=D$4)*(Diário!$B$4:$B$2662&lt;=EOMONTH(D$4,0))*(Diário!$F$4:$F$2662))</f>
        <v>169.13</v>
      </c>
      <c r="E71" s="102">
        <f>SUMPRODUCT((Diário!$E$4:$E$2662='Analítico Cx.'!$B71)*(Diário!$B$4:$B$2662&gt;=E$4)*(Diário!$B$4:$B$2662&lt;=EOMONTH(E$4,0))*(Diário!$F$4:$F$2662))</f>
        <v>5330.87</v>
      </c>
      <c r="F71" s="102">
        <f>SUMPRODUCT((Diário!$E$4:$E$2662='Analítico Cx.'!$B71)*(Diário!$B$4:$B$2662&gt;=F$4)*(Diário!$B$4:$B$2662&lt;=EOMONTH(F$4,0))*(Diário!$F$4:$F$2662))</f>
        <v>2750</v>
      </c>
      <c r="G71" s="102">
        <f>SUMPRODUCT((Diário!$E$4:$E$2662='Analítico Cx.'!$B71)*(Diário!$B$4:$B$2662&gt;=G$4)*(Diário!$B$4:$B$2662&lt;=EOMONTH(G$4,0))*(Diário!$F$4:$F$2662))</f>
        <v>169.13</v>
      </c>
      <c r="H71" s="102">
        <f>SUMPRODUCT((Diário!$E$4:$E$2662='Analítico Cx.'!$B71)*(Diário!$B$4:$B$2662&gt;=H$4)*(Diário!$B$4:$B$2662&lt;=EOMONTH(H$4,0))*(Diário!$F$4:$F$2662))</f>
        <v>0</v>
      </c>
      <c r="I71" s="102">
        <f>SUMPRODUCT((Diário!$E$4:$E$2662='Analítico Cx.'!$B71)*(Diário!$B$4:$B$2662&gt;=I$4)*(Diário!$B$4:$B$2662&lt;=EOMONTH(I$4,0))*(Diário!$F$4:$F$2662))</f>
        <v>0</v>
      </c>
      <c r="J71" s="102">
        <f>SUMPRODUCT((Diário!$E$4:$E$2662='Analítico Cx.'!$B71)*(Diário!$B$4:$B$2662&gt;=J$4)*(Diário!$B$4:$B$2662&lt;=EOMONTH(J$4,0))*(Diário!$F$4:$F$2662))</f>
        <v>0</v>
      </c>
      <c r="K71" s="102">
        <f>SUMPRODUCT((Diário!$E$4:$E$2662='Analítico Cx.'!$B71)*(Diário!$B$4:$B$2662&gt;=K$4)*(Diário!$B$4:$B$2662&lt;=EOMONTH(K$4,0))*(Diário!$F$4:$F$2662))</f>
        <v>0</v>
      </c>
      <c r="L71" s="102">
        <f>SUMPRODUCT((Diário!$E$4:$E$2662='Analítico Cx.'!$B71)*(Diário!$B$4:$B$2662&gt;=L$4)*(Diário!$B$4:$B$2662&lt;=EOMONTH(L$4,0))*(Diário!$F$4:$F$2662))</f>
        <v>0</v>
      </c>
      <c r="M71" s="102">
        <f>SUMPRODUCT((Diário!$E$4:$E$2662='Analítico Cx.'!$B71)*(Diário!$B$4:$B$2662&gt;=M$4)*(Diário!$B$4:$B$2662&lt;=EOMONTH(M$4,0))*(Diário!$F$4:$F$2662))</f>
        <v>0</v>
      </c>
      <c r="N71" s="102">
        <f>SUMPRODUCT((Diário!$E$4:$E$2662='Analítico Cx.'!$B71)*(Diário!$B$4:$B$2662&gt;=N$4)*(Diário!$B$4:$B$2662&lt;=EOMONTH(N$4,0))*(Diário!$F$4:$F$2662))</f>
        <v>0</v>
      </c>
      <c r="O71" s="103">
        <f t="shared" si="17"/>
        <v>11337.289999999999</v>
      </c>
      <c r="P71" s="95">
        <f t="shared" si="16"/>
        <v>5.8541906151517002E-4</v>
      </c>
    </row>
    <row r="72" spans="1:16" ht="23.25" customHeight="1">
      <c r="A72" s="40" t="s">
        <v>112</v>
      </c>
      <c r="B72" s="59" t="s">
        <v>161</v>
      </c>
      <c r="C72" s="102">
        <f>SUMPRODUCT((Diário!$E$4:$E$2662='Analítico Cx.'!$B72)*(Diário!$B$4:$B$2662&gt;=C$4)*(Diário!$B$4:$B$2662&lt;=EOMONTH(C$4,0))*(Diário!$F$4:$F$2662))</f>
        <v>0</v>
      </c>
      <c r="D72" s="102">
        <f>SUMPRODUCT((Diário!$E$4:$E$2662='Analítico Cx.'!$B72)*(Diário!$B$4:$B$2662&gt;=D$4)*(Diário!$B$4:$B$2662&lt;=EOMONTH(D$4,0))*(Diário!$F$4:$F$2662))</f>
        <v>0</v>
      </c>
      <c r="E72" s="102">
        <f>SUMPRODUCT((Diário!$E$4:$E$2662='Analítico Cx.'!$B72)*(Diário!$B$4:$B$2662&gt;=E$4)*(Diário!$B$4:$B$2662&lt;=EOMONTH(E$4,0))*(Diário!$F$4:$F$2662))</f>
        <v>0</v>
      </c>
      <c r="F72" s="102">
        <f>SUMPRODUCT((Diário!$E$4:$E$2662='Analítico Cx.'!$B72)*(Diário!$B$4:$B$2662&gt;=F$4)*(Diário!$B$4:$B$2662&lt;=EOMONTH(F$4,0))*(Diário!$F$4:$F$2662))</f>
        <v>0</v>
      </c>
      <c r="G72" s="102">
        <f>SUMPRODUCT((Diário!$E$4:$E$2662='Analítico Cx.'!$B72)*(Diário!$B$4:$B$2662&gt;=G$4)*(Diário!$B$4:$B$2662&lt;=EOMONTH(G$4,0))*(Diário!$F$4:$F$2662))</f>
        <v>0</v>
      </c>
      <c r="H72" s="102">
        <f>SUMPRODUCT((Diário!$E$4:$E$2662='Analítico Cx.'!$B72)*(Diário!$B$4:$B$2662&gt;=H$4)*(Diário!$B$4:$B$2662&lt;=EOMONTH(H$4,0))*(Diário!$F$4:$F$2662))</f>
        <v>0</v>
      </c>
      <c r="I72" s="102">
        <f>SUMPRODUCT((Diário!$E$4:$E$2662='Analítico Cx.'!$B72)*(Diário!$B$4:$B$2662&gt;=I$4)*(Diário!$B$4:$B$2662&lt;=EOMONTH(I$4,0))*(Diário!$F$4:$F$2662))</f>
        <v>0</v>
      </c>
      <c r="J72" s="102">
        <f>SUMPRODUCT((Diário!$E$4:$E$2662='Analítico Cx.'!$B72)*(Diário!$B$4:$B$2662&gt;=J$4)*(Diário!$B$4:$B$2662&lt;=EOMONTH(J$4,0))*(Diário!$F$4:$F$2662))</f>
        <v>0</v>
      </c>
      <c r="K72" s="102">
        <f>SUMPRODUCT((Diário!$E$4:$E$2662='Analítico Cx.'!$B72)*(Diário!$B$4:$B$2662&gt;=K$4)*(Diário!$B$4:$B$2662&lt;=EOMONTH(K$4,0))*(Diário!$F$4:$F$2662))</f>
        <v>0</v>
      </c>
      <c r="L72" s="102">
        <f>SUMPRODUCT((Diário!$E$4:$E$2662='Analítico Cx.'!$B72)*(Diário!$B$4:$B$2662&gt;=L$4)*(Diário!$B$4:$B$2662&lt;=EOMONTH(L$4,0))*(Diário!$F$4:$F$2662))</f>
        <v>0</v>
      </c>
      <c r="M72" s="102">
        <f>SUMPRODUCT((Diário!$E$4:$E$2662='Analítico Cx.'!$B72)*(Diário!$B$4:$B$2662&gt;=M$4)*(Diário!$B$4:$B$2662&lt;=EOMONTH(M$4,0))*(Diário!$F$4:$F$2662))</f>
        <v>0</v>
      </c>
      <c r="N72" s="102">
        <f>SUMPRODUCT((Diário!$E$4:$E$2662='Analítico Cx.'!$B72)*(Diário!$B$4:$B$2662&gt;=N$4)*(Diário!$B$4:$B$2662&lt;=EOMONTH(N$4,0))*(Diário!$F$4:$F$2662))</f>
        <v>0</v>
      </c>
      <c r="O72" s="103">
        <f t="shared" si="17"/>
        <v>0</v>
      </c>
      <c r="P72" s="95">
        <f t="shared" si="16"/>
        <v>0</v>
      </c>
    </row>
    <row r="73" spans="1:16" ht="23.25" customHeight="1">
      <c r="A73" s="40" t="s">
        <v>113</v>
      </c>
      <c r="B73" s="59" t="s">
        <v>168</v>
      </c>
      <c r="C73" s="102">
        <f>SUMPRODUCT((Diário!$E$4:$E$2662='Analítico Cx.'!$B73)*(Diário!$B$4:$B$2662&gt;=C$4)*(Diário!$B$4:$B$2662&lt;=EOMONTH(C$4,0))*(Diário!$F$4:$F$2662))</f>
        <v>0</v>
      </c>
      <c r="D73" s="102">
        <f>SUMPRODUCT((Diário!$E$4:$E$2662='Analítico Cx.'!$B73)*(Diário!$B$4:$B$2662&gt;=D$4)*(Diário!$B$4:$B$2662&lt;=EOMONTH(D$4,0))*(Diário!$F$4:$F$2662))</f>
        <v>0</v>
      </c>
      <c r="E73" s="102">
        <f>SUMPRODUCT((Diário!$E$4:$E$2662='Analítico Cx.'!$B73)*(Diário!$B$4:$B$2662&gt;=E$4)*(Diário!$B$4:$B$2662&lt;=EOMONTH(E$4,0))*(Diário!$F$4:$F$2662))</f>
        <v>0</v>
      </c>
      <c r="F73" s="102">
        <f>SUMPRODUCT((Diário!$E$4:$E$2662='Analítico Cx.'!$B73)*(Diário!$B$4:$B$2662&gt;=F$4)*(Diário!$B$4:$B$2662&lt;=EOMONTH(F$4,0))*(Diário!$F$4:$F$2662))</f>
        <v>0</v>
      </c>
      <c r="G73" s="102">
        <f>SUMPRODUCT((Diário!$E$4:$E$2662='Analítico Cx.'!$B73)*(Diário!$B$4:$B$2662&gt;=G$4)*(Diário!$B$4:$B$2662&lt;=EOMONTH(G$4,0))*(Diário!$F$4:$F$2662))</f>
        <v>0</v>
      </c>
      <c r="H73" s="102">
        <f>SUMPRODUCT((Diário!$E$4:$E$2662='Analítico Cx.'!$B73)*(Diário!$B$4:$B$2662&gt;=H$4)*(Diário!$B$4:$B$2662&lt;=EOMONTH(H$4,0))*(Diário!$F$4:$F$2662))</f>
        <v>0</v>
      </c>
      <c r="I73" s="102">
        <f>SUMPRODUCT((Diário!$E$4:$E$2662='Analítico Cx.'!$B73)*(Diário!$B$4:$B$2662&gt;=I$4)*(Diário!$B$4:$B$2662&lt;=EOMONTH(I$4,0))*(Diário!$F$4:$F$2662))</f>
        <v>0</v>
      </c>
      <c r="J73" s="102">
        <f>SUMPRODUCT((Diário!$E$4:$E$2662='Analítico Cx.'!$B73)*(Diário!$B$4:$B$2662&gt;=J$4)*(Diário!$B$4:$B$2662&lt;=EOMONTH(J$4,0))*(Diário!$F$4:$F$2662))</f>
        <v>0</v>
      </c>
      <c r="K73" s="102">
        <f>SUMPRODUCT((Diário!$E$4:$E$2662='Analítico Cx.'!$B73)*(Diário!$B$4:$B$2662&gt;=K$4)*(Diário!$B$4:$B$2662&lt;=EOMONTH(K$4,0))*(Diário!$F$4:$F$2662))</f>
        <v>0</v>
      </c>
      <c r="L73" s="102">
        <f>SUMPRODUCT((Diário!$E$4:$E$2662='Analítico Cx.'!$B73)*(Diário!$B$4:$B$2662&gt;=L$4)*(Diário!$B$4:$B$2662&lt;=EOMONTH(L$4,0))*(Diário!$F$4:$F$2662))</f>
        <v>0</v>
      </c>
      <c r="M73" s="102">
        <f>SUMPRODUCT((Diário!$E$4:$E$2662='Analítico Cx.'!$B73)*(Diário!$B$4:$B$2662&gt;=M$4)*(Diário!$B$4:$B$2662&lt;=EOMONTH(M$4,0))*(Diário!$F$4:$F$2662))</f>
        <v>0</v>
      </c>
      <c r="N73" s="102">
        <f>SUMPRODUCT((Diário!$E$4:$E$2662='Analítico Cx.'!$B73)*(Diário!$B$4:$B$2662&gt;=N$4)*(Diário!$B$4:$B$2662&lt;=EOMONTH(N$4,0))*(Diário!$F$4:$F$2662))</f>
        <v>0</v>
      </c>
      <c r="O73" s="103">
        <f t="shared" si="17"/>
        <v>0</v>
      </c>
      <c r="P73" s="95">
        <f t="shared" si="16"/>
        <v>0</v>
      </c>
    </row>
    <row r="74" spans="1:16" ht="23.25" customHeight="1">
      <c r="A74" s="40" t="s">
        <v>114</v>
      </c>
      <c r="B74" s="61" t="s">
        <v>206</v>
      </c>
      <c r="C74" s="102">
        <f>SUMPRODUCT((Diário!$E$4:$E$2662='Analítico Cx.'!$B74)*(Diário!$B$4:$B$2662&gt;=C$4)*(Diário!$B$4:$B$2662&lt;=EOMONTH(C$4,0))*(Diário!$F$4:$F$2662))</f>
        <v>0</v>
      </c>
      <c r="D74" s="102">
        <f>SUMPRODUCT((Diário!$E$4:$E$2662='Analítico Cx.'!$B74)*(Diário!$B$4:$B$2662&gt;=D$4)*(Diário!$B$4:$B$2662&lt;=EOMONTH(D$4,0))*(Diário!$F$4:$F$2662))</f>
        <v>0</v>
      </c>
      <c r="E74" s="102">
        <f>SUMPRODUCT((Diário!$E$4:$E$2662='Analítico Cx.'!$B74)*(Diário!$B$4:$B$2662&gt;=E$4)*(Diário!$B$4:$B$2662&lt;=EOMONTH(E$4,0))*(Diário!$F$4:$F$2662))</f>
        <v>0</v>
      </c>
      <c r="F74" s="102">
        <f>SUMPRODUCT((Diário!$E$4:$E$2662='Analítico Cx.'!$B74)*(Diário!$B$4:$B$2662&gt;=F$4)*(Diário!$B$4:$B$2662&lt;=EOMONTH(F$4,0))*(Diário!$F$4:$F$2662))</f>
        <v>0</v>
      </c>
      <c r="G74" s="102">
        <f>SUMPRODUCT((Diário!$E$4:$E$2662='Analítico Cx.'!$B74)*(Diário!$B$4:$B$2662&gt;=G$4)*(Diário!$B$4:$B$2662&lt;=EOMONTH(G$4,0))*(Diário!$F$4:$F$2662))</f>
        <v>0</v>
      </c>
      <c r="H74" s="102">
        <f>SUMPRODUCT((Diário!$E$4:$E$2662='Analítico Cx.'!$B74)*(Diário!$B$4:$B$2662&gt;=H$4)*(Diário!$B$4:$B$2662&lt;=EOMONTH(H$4,0))*(Diário!$F$4:$F$2662))</f>
        <v>0</v>
      </c>
      <c r="I74" s="102">
        <f>SUMPRODUCT((Diário!$E$4:$E$2662='Analítico Cx.'!$B74)*(Diário!$B$4:$B$2662&gt;=I$4)*(Diário!$B$4:$B$2662&lt;=EOMONTH(I$4,0))*(Diário!$F$4:$F$2662))</f>
        <v>0</v>
      </c>
      <c r="J74" s="102">
        <f>SUMPRODUCT((Diário!$E$4:$E$2662='Analítico Cx.'!$B74)*(Diário!$B$4:$B$2662&gt;=J$4)*(Diário!$B$4:$B$2662&lt;=EOMONTH(J$4,0))*(Diário!$F$4:$F$2662))</f>
        <v>0</v>
      </c>
      <c r="K74" s="102">
        <f>SUMPRODUCT((Diário!$E$4:$E$2662='Analítico Cx.'!$B74)*(Diário!$B$4:$B$2662&gt;=K$4)*(Diário!$B$4:$B$2662&lt;=EOMONTH(K$4,0))*(Diário!$F$4:$F$2662))</f>
        <v>0</v>
      </c>
      <c r="L74" s="102">
        <f>SUMPRODUCT((Diário!$E$4:$E$2662='Analítico Cx.'!$B74)*(Diário!$B$4:$B$2662&gt;=L$4)*(Diário!$B$4:$B$2662&lt;=EOMONTH(L$4,0))*(Diário!$F$4:$F$2662))</f>
        <v>0</v>
      </c>
      <c r="M74" s="102">
        <f>SUMPRODUCT((Diário!$E$4:$E$2662='Analítico Cx.'!$B74)*(Diário!$B$4:$B$2662&gt;=M$4)*(Diário!$B$4:$B$2662&lt;=EOMONTH(M$4,0))*(Diário!$F$4:$F$2662))</f>
        <v>0</v>
      </c>
      <c r="N74" s="102">
        <f>SUMPRODUCT((Diário!$E$4:$E$2662='Analítico Cx.'!$B74)*(Diário!$B$4:$B$2662&gt;=N$4)*(Diário!$B$4:$B$2662&lt;=EOMONTH(N$4,0))*(Diário!$F$4:$F$2662))</f>
        <v>0</v>
      </c>
      <c r="O74" s="103">
        <f t="shared" si="17"/>
        <v>0</v>
      </c>
      <c r="P74" s="95">
        <f t="shared" si="16"/>
        <v>0</v>
      </c>
    </row>
    <row r="75" spans="1:16" ht="23.25" customHeight="1">
      <c r="A75" s="40" t="s">
        <v>115</v>
      </c>
      <c r="B75" s="59" t="s">
        <v>59</v>
      </c>
      <c r="C75" s="102">
        <f>SUMPRODUCT((Diário!$E$4:$E$2662='Analítico Cx.'!$B75)*(Diário!$B$4:$B$2662&gt;=C$4)*(Diário!$B$4:$B$2662&lt;=EOMONTH(C$4,0))*(Diário!$F$4:$F$2662))</f>
        <v>0</v>
      </c>
      <c r="D75" s="102">
        <f>SUMPRODUCT((Diário!$E$4:$E$2662='Analítico Cx.'!$B75)*(Diário!$B$4:$B$2662&gt;=D$4)*(Diário!$B$4:$B$2662&lt;=EOMONTH(D$4,0))*(Diário!$F$4:$F$2662))</f>
        <v>0</v>
      </c>
      <c r="E75" s="102">
        <f>SUMPRODUCT((Diário!$E$4:$E$2662='Analítico Cx.'!$B75)*(Diário!$B$4:$B$2662&gt;=E$4)*(Diário!$B$4:$B$2662&lt;=EOMONTH(E$4,0))*(Diário!$F$4:$F$2662))</f>
        <v>0</v>
      </c>
      <c r="F75" s="102">
        <f>SUMPRODUCT((Diário!$E$4:$E$2662='Analítico Cx.'!$B75)*(Diário!$B$4:$B$2662&gt;=F$4)*(Diário!$B$4:$B$2662&lt;=EOMONTH(F$4,0))*(Diário!$F$4:$F$2662))</f>
        <v>0</v>
      </c>
      <c r="G75" s="102">
        <f>SUMPRODUCT((Diário!$E$4:$E$2662='Analítico Cx.'!$B75)*(Diário!$B$4:$B$2662&gt;=G$4)*(Diário!$B$4:$B$2662&lt;=EOMONTH(G$4,0))*(Diário!$F$4:$F$2662))</f>
        <v>0</v>
      </c>
      <c r="H75" s="102">
        <f>SUMPRODUCT((Diário!$E$4:$E$2662='Analítico Cx.'!$B75)*(Diário!$B$4:$B$2662&gt;=H$4)*(Diário!$B$4:$B$2662&lt;=EOMONTH(H$4,0))*(Diário!$F$4:$F$2662))</f>
        <v>0</v>
      </c>
      <c r="I75" s="102">
        <f>SUMPRODUCT((Diário!$E$4:$E$2662='Analítico Cx.'!$B75)*(Diário!$B$4:$B$2662&gt;=I$4)*(Diário!$B$4:$B$2662&lt;=EOMONTH(I$4,0))*(Diário!$F$4:$F$2662))</f>
        <v>0</v>
      </c>
      <c r="J75" s="102">
        <f>SUMPRODUCT((Diário!$E$4:$E$2662='Analítico Cx.'!$B75)*(Diário!$B$4:$B$2662&gt;=J$4)*(Diário!$B$4:$B$2662&lt;=EOMONTH(J$4,0))*(Diário!$F$4:$F$2662))</f>
        <v>0</v>
      </c>
      <c r="K75" s="102">
        <f>SUMPRODUCT((Diário!$E$4:$E$2662='Analítico Cx.'!$B75)*(Diário!$B$4:$B$2662&gt;=K$4)*(Diário!$B$4:$B$2662&lt;=EOMONTH(K$4,0))*(Diário!$F$4:$F$2662))</f>
        <v>0</v>
      </c>
      <c r="L75" s="102">
        <f>SUMPRODUCT((Diário!$E$4:$E$2662='Analítico Cx.'!$B75)*(Diário!$B$4:$B$2662&gt;=L$4)*(Diário!$B$4:$B$2662&lt;=EOMONTH(L$4,0))*(Diário!$F$4:$F$2662))</f>
        <v>0</v>
      </c>
      <c r="M75" s="102">
        <f>SUMPRODUCT((Diário!$E$4:$E$2662='Analítico Cx.'!$B75)*(Diário!$B$4:$B$2662&gt;=M$4)*(Diário!$B$4:$B$2662&lt;=EOMONTH(M$4,0))*(Diário!$F$4:$F$2662))</f>
        <v>0</v>
      </c>
      <c r="N75" s="102">
        <f>SUMPRODUCT((Diário!$E$4:$E$2662='Analítico Cx.'!$B75)*(Diário!$B$4:$B$2662&gt;=N$4)*(Diário!$B$4:$B$2662&lt;=EOMONTH(N$4,0))*(Diário!$F$4:$F$2662))</f>
        <v>0</v>
      </c>
      <c r="O75" s="103">
        <f t="shared" si="17"/>
        <v>0</v>
      </c>
      <c r="P75" s="95">
        <f t="shared" si="16"/>
        <v>0</v>
      </c>
    </row>
    <row r="76" spans="1:16" ht="23.25" customHeight="1">
      <c r="A76" s="40" t="s">
        <v>116</v>
      </c>
      <c r="B76" s="59" t="s">
        <v>169</v>
      </c>
      <c r="C76" s="102">
        <f>SUMPRODUCT((Diário!$E$4:$E$2662='Analítico Cx.'!$B76)*(Diário!$B$4:$B$2662&gt;=C$4)*(Diário!$B$4:$B$2662&lt;=EOMONTH(C$4,0))*(Diário!$F$4:$F$2662))</f>
        <v>3838.27</v>
      </c>
      <c r="D76" s="102">
        <f>SUMPRODUCT((Diário!$E$4:$E$2662='Analítico Cx.'!$B76)*(Diário!$B$4:$B$2662&gt;=D$4)*(Diário!$B$4:$B$2662&lt;=EOMONTH(D$4,0))*(Diário!$F$4:$F$2662))</f>
        <v>9049.3399999999983</v>
      </c>
      <c r="E76" s="102">
        <f>SUMPRODUCT((Diário!$E$4:$E$2662='Analítico Cx.'!$B76)*(Diário!$B$4:$B$2662&gt;=E$4)*(Diário!$B$4:$B$2662&lt;=EOMONTH(E$4,0))*(Diário!$F$4:$F$2662))</f>
        <v>0</v>
      </c>
      <c r="F76" s="102">
        <f>SUMPRODUCT((Diário!$E$4:$E$2662='Analítico Cx.'!$B76)*(Diário!$B$4:$B$2662&gt;=F$4)*(Diário!$B$4:$B$2662&lt;=EOMONTH(F$4,0))*(Diário!$F$4:$F$2662))</f>
        <v>2520.7700000000004</v>
      </c>
      <c r="G76" s="102">
        <f>SUMPRODUCT((Diário!$E$4:$E$2662='Analítico Cx.'!$B76)*(Diário!$B$4:$B$2662&gt;=G$4)*(Diário!$B$4:$B$2662&lt;=EOMONTH(G$4,0))*(Diário!$F$4:$F$2662))</f>
        <v>0</v>
      </c>
      <c r="H76" s="102">
        <f>SUMPRODUCT((Diário!$E$4:$E$2662='Analítico Cx.'!$B76)*(Diário!$B$4:$B$2662&gt;=H$4)*(Diário!$B$4:$B$2662&lt;=EOMONTH(H$4,0))*(Diário!$F$4:$F$2662))</f>
        <v>6043.5300000000007</v>
      </c>
      <c r="I76" s="102">
        <f>SUMPRODUCT((Diário!$E$4:$E$2662='Analítico Cx.'!$B76)*(Diário!$B$4:$B$2662&gt;=I$4)*(Diário!$B$4:$B$2662&lt;=EOMONTH(I$4,0))*(Diário!$F$4:$F$2662))</f>
        <v>0</v>
      </c>
      <c r="J76" s="102">
        <f>SUMPRODUCT((Diário!$E$4:$E$2662='Analítico Cx.'!$B76)*(Diário!$B$4:$B$2662&gt;=J$4)*(Diário!$B$4:$B$2662&lt;=EOMONTH(J$4,0))*(Diário!$F$4:$F$2662))</f>
        <v>0</v>
      </c>
      <c r="K76" s="102">
        <f>SUMPRODUCT((Diário!$E$4:$E$2662='Analítico Cx.'!$B76)*(Diário!$B$4:$B$2662&gt;=K$4)*(Diário!$B$4:$B$2662&lt;=EOMONTH(K$4,0))*(Diário!$F$4:$F$2662))</f>
        <v>0</v>
      </c>
      <c r="L76" s="102">
        <f>SUMPRODUCT((Diário!$E$4:$E$2662='Analítico Cx.'!$B76)*(Diário!$B$4:$B$2662&gt;=L$4)*(Diário!$B$4:$B$2662&lt;=EOMONTH(L$4,0))*(Diário!$F$4:$F$2662))</f>
        <v>0</v>
      </c>
      <c r="M76" s="102">
        <f>SUMPRODUCT((Diário!$E$4:$E$2662='Analítico Cx.'!$B76)*(Diário!$B$4:$B$2662&gt;=M$4)*(Diário!$B$4:$B$2662&lt;=EOMONTH(M$4,0))*(Diário!$F$4:$F$2662))</f>
        <v>0</v>
      </c>
      <c r="N76" s="102">
        <f>SUMPRODUCT((Diário!$E$4:$E$2662='Analítico Cx.'!$B76)*(Diário!$B$4:$B$2662&gt;=N$4)*(Diário!$B$4:$B$2662&lt;=EOMONTH(N$4,0))*(Diário!$F$4:$F$2662))</f>
        <v>0</v>
      </c>
      <c r="O76" s="103">
        <f t="shared" si="17"/>
        <v>21451.91</v>
      </c>
      <c r="P76" s="95">
        <f t="shared" si="16"/>
        <v>1.1077036064092822E-3</v>
      </c>
    </row>
    <row r="77" spans="1:16" ht="23.25" customHeight="1">
      <c r="A77" s="40" t="s">
        <v>117</v>
      </c>
      <c r="B77" s="59" t="s">
        <v>170</v>
      </c>
      <c r="C77" s="102">
        <f>SUMPRODUCT((Diário!$E$4:$E$2662='Analítico Cx.'!$B77)*(Diário!$B$4:$B$2662&gt;=C$4)*(Diário!$B$4:$B$2662&lt;=EOMONTH(C$4,0))*(Diário!$F$4:$F$2662))</f>
        <v>0</v>
      </c>
      <c r="D77" s="102">
        <f>SUMPRODUCT((Diário!$E$4:$E$2662='Analítico Cx.'!$B77)*(Diário!$B$4:$B$2662&gt;=D$4)*(Diário!$B$4:$B$2662&lt;=EOMONTH(D$4,0))*(Diário!$F$4:$F$2662))</f>
        <v>0</v>
      </c>
      <c r="E77" s="102">
        <f>SUMPRODUCT((Diário!$E$4:$E$2662='Analítico Cx.'!$B77)*(Diário!$B$4:$B$2662&gt;=E$4)*(Diário!$B$4:$B$2662&lt;=EOMONTH(E$4,0))*(Diário!$F$4:$F$2662))</f>
        <v>66439.89</v>
      </c>
      <c r="F77" s="102">
        <f>SUMPRODUCT((Diário!$E$4:$E$2662='Analítico Cx.'!$B77)*(Diário!$B$4:$B$2662&gt;=F$4)*(Diário!$B$4:$B$2662&lt;=EOMONTH(F$4,0))*(Diário!$F$4:$F$2662))</f>
        <v>19620.049999999996</v>
      </c>
      <c r="G77" s="102">
        <f>SUMPRODUCT((Diário!$E$4:$E$2662='Analítico Cx.'!$B77)*(Diário!$B$4:$B$2662&gt;=G$4)*(Diário!$B$4:$B$2662&lt;=EOMONTH(G$4,0))*(Diário!$F$4:$F$2662))</f>
        <v>17613.68</v>
      </c>
      <c r="H77" s="102">
        <f>SUMPRODUCT((Diário!$E$4:$E$2662='Analítico Cx.'!$B77)*(Diário!$B$4:$B$2662&gt;=H$4)*(Diário!$B$4:$B$2662&lt;=EOMONTH(H$4,0))*(Diário!$F$4:$F$2662))</f>
        <v>0</v>
      </c>
      <c r="I77" s="102">
        <f>SUMPRODUCT((Diário!$E$4:$E$2662='Analítico Cx.'!$B77)*(Diário!$B$4:$B$2662&gt;=I$4)*(Diário!$B$4:$B$2662&lt;=EOMONTH(I$4,0))*(Diário!$F$4:$F$2662))</f>
        <v>0</v>
      </c>
      <c r="J77" s="102">
        <f>SUMPRODUCT((Diário!$E$4:$E$2662='Analítico Cx.'!$B77)*(Diário!$B$4:$B$2662&gt;=J$4)*(Diário!$B$4:$B$2662&lt;=EOMONTH(J$4,0))*(Diário!$F$4:$F$2662))</f>
        <v>0</v>
      </c>
      <c r="K77" s="102">
        <f>SUMPRODUCT((Diário!$E$4:$E$2662='Analítico Cx.'!$B77)*(Diário!$B$4:$B$2662&gt;=K$4)*(Diário!$B$4:$B$2662&lt;=EOMONTH(K$4,0))*(Diário!$F$4:$F$2662))</f>
        <v>0</v>
      </c>
      <c r="L77" s="102">
        <f>SUMPRODUCT((Diário!$E$4:$E$2662='Analítico Cx.'!$B77)*(Diário!$B$4:$B$2662&gt;=L$4)*(Diário!$B$4:$B$2662&lt;=EOMONTH(L$4,0))*(Diário!$F$4:$F$2662))</f>
        <v>0</v>
      </c>
      <c r="M77" s="102">
        <f>SUMPRODUCT((Diário!$E$4:$E$2662='Analítico Cx.'!$B77)*(Diário!$B$4:$B$2662&gt;=M$4)*(Diário!$B$4:$B$2662&lt;=EOMONTH(M$4,0))*(Diário!$F$4:$F$2662))</f>
        <v>0</v>
      </c>
      <c r="N77" s="102">
        <f>SUMPRODUCT((Diário!$E$4:$E$2662='Analítico Cx.'!$B77)*(Diário!$B$4:$B$2662&gt;=N$4)*(Diário!$B$4:$B$2662&lt;=EOMONTH(N$4,0))*(Diário!$F$4:$F$2662))</f>
        <v>0</v>
      </c>
      <c r="O77" s="103">
        <f t="shared" si="17"/>
        <v>103673.62</v>
      </c>
      <c r="P77" s="95">
        <f t="shared" si="16"/>
        <v>5.3533528139688025E-3</v>
      </c>
    </row>
    <row r="78" spans="1:16" ht="23.25" customHeight="1">
      <c r="A78" s="40" t="s">
        <v>118</v>
      </c>
      <c r="B78" s="60" t="s">
        <v>171</v>
      </c>
      <c r="C78" s="102">
        <f>SUMPRODUCT((Diário!$E$4:$E$2662='Analítico Cx.'!$B78)*(Diário!$B$4:$B$2662&gt;=C$4)*(Diário!$B$4:$B$2662&lt;=EOMONTH(C$4,0))*(Diário!$F$4:$F$2662))</f>
        <v>568.93999999999994</v>
      </c>
      <c r="D78" s="102">
        <f>SUMPRODUCT((Diário!$E$4:$E$2662='Analítico Cx.'!$B78)*(Diário!$B$4:$B$2662&gt;=D$4)*(Diário!$B$4:$B$2662&lt;=EOMONTH(D$4,0))*(Diário!$F$4:$F$2662))</f>
        <v>9065.7900000000009</v>
      </c>
      <c r="E78" s="102">
        <f>SUMPRODUCT((Diário!$E$4:$E$2662='Analítico Cx.'!$B78)*(Diário!$B$4:$B$2662&gt;=E$4)*(Diário!$B$4:$B$2662&lt;=EOMONTH(E$4,0))*(Diário!$F$4:$F$2662))</f>
        <v>8880.0299999999988</v>
      </c>
      <c r="F78" s="102">
        <f>SUMPRODUCT((Diário!$E$4:$E$2662='Analítico Cx.'!$B78)*(Diário!$B$4:$B$2662&gt;=F$4)*(Diário!$B$4:$B$2662&lt;=EOMONTH(F$4,0))*(Diário!$F$4:$F$2662))</f>
        <v>10242.790000000001</v>
      </c>
      <c r="G78" s="102">
        <f>SUMPRODUCT((Diário!$E$4:$E$2662='Analítico Cx.'!$B78)*(Diário!$B$4:$B$2662&gt;=G$4)*(Diário!$B$4:$B$2662&lt;=EOMONTH(G$4,0))*(Diário!$F$4:$F$2662))</f>
        <v>11128.78</v>
      </c>
      <c r="H78" s="102">
        <f>SUMPRODUCT((Diário!$E$4:$E$2662='Analítico Cx.'!$B78)*(Diário!$B$4:$B$2662&gt;=H$4)*(Diário!$B$4:$B$2662&lt;=EOMONTH(H$4,0))*(Diário!$F$4:$F$2662))</f>
        <v>23918.69</v>
      </c>
      <c r="I78" s="102">
        <f>SUMPRODUCT((Diário!$E$4:$E$2662='Analítico Cx.'!$B78)*(Diário!$B$4:$B$2662&gt;=I$4)*(Diário!$B$4:$B$2662&lt;=EOMONTH(I$4,0))*(Diário!$F$4:$F$2662))</f>
        <v>0</v>
      </c>
      <c r="J78" s="102">
        <f>SUMPRODUCT((Diário!$E$4:$E$2662='Analítico Cx.'!$B78)*(Diário!$B$4:$B$2662&gt;=J$4)*(Diário!$B$4:$B$2662&lt;=EOMONTH(J$4,0))*(Diário!$F$4:$F$2662))</f>
        <v>0</v>
      </c>
      <c r="K78" s="102">
        <f>SUMPRODUCT((Diário!$E$4:$E$2662='Analítico Cx.'!$B78)*(Diário!$B$4:$B$2662&gt;=K$4)*(Diário!$B$4:$B$2662&lt;=EOMONTH(K$4,0))*(Diário!$F$4:$F$2662))</f>
        <v>0</v>
      </c>
      <c r="L78" s="102">
        <f>SUMPRODUCT((Diário!$E$4:$E$2662='Analítico Cx.'!$B78)*(Diário!$B$4:$B$2662&gt;=L$4)*(Diário!$B$4:$B$2662&lt;=EOMONTH(L$4,0))*(Diário!$F$4:$F$2662))</f>
        <v>0</v>
      </c>
      <c r="M78" s="102">
        <f>SUMPRODUCT((Diário!$E$4:$E$2662='Analítico Cx.'!$B78)*(Diário!$B$4:$B$2662&gt;=M$4)*(Diário!$B$4:$B$2662&lt;=EOMONTH(M$4,0))*(Diário!$F$4:$F$2662))</f>
        <v>0</v>
      </c>
      <c r="N78" s="102">
        <f>SUMPRODUCT((Diário!$E$4:$E$2662='Analítico Cx.'!$B78)*(Diário!$B$4:$B$2662&gt;=N$4)*(Diário!$B$4:$B$2662&lt;=EOMONTH(N$4,0))*(Diário!$F$4:$F$2662))</f>
        <v>0</v>
      </c>
      <c r="O78" s="103">
        <f t="shared" si="17"/>
        <v>63805.020000000004</v>
      </c>
      <c r="P78" s="95">
        <f t="shared" si="16"/>
        <v>3.2946740295393922E-3</v>
      </c>
    </row>
    <row r="79" spans="1:16" ht="23.25" customHeight="1">
      <c r="A79" s="40" t="s">
        <v>119</v>
      </c>
      <c r="B79" s="60" t="s">
        <v>172</v>
      </c>
      <c r="C79" s="102">
        <f>SUMPRODUCT((Diário!$E$4:$E$2662='Analítico Cx.'!$B79)*(Diário!$B$4:$B$2662&gt;=C$4)*(Diário!$B$4:$B$2662&lt;=EOMONTH(C$4,0))*(Diário!$F$4:$F$2662))</f>
        <v>0</v>
      </c>
      <c r="D79" s="102">
        <f>SUMPRODUCT((Diário!$E$4:$E$2662='Analítico Cx.'!$B79)*(Diário!$B$4:$B$2662&gt;=D$4)*(Diário!$B$4:$B$2662&lt;=EOMONTH(D$4,0))*(Diário!$F$4:$F$2662))</f>
        <v>0</v>
      </c>
      <c r="E79" s="102">
        <f>SUMPRODUCT((Diário!$E$4:$E$2662='Analítico Cx.'!$B79)*(Diário!$B$4:$B$2662&gt;=E$4)*(Diário!$B$4:$B$2662&lt;=EOMONTH(E$4,0))*(Diário!$F$4:$F$2662))</f>
        <v>0</v>
      </c>
      <c r="F79" s="102">
        <f>SUMPRODUCT((Diário!$E$4:$E$2662='Analítico Cx.'!$B79)*(Diário!$B$4:$B$2662&gt;=F$4)*(Diário!$B$4:$B$2662&lt;=EOMONTH(F$4,0))*(Diário!$F$4:$F$2662))</f>
        <v>0</v>
      </c>
      <c r="G79" s="102">
        <f>SUMPRODUCT((Diário!$E$4:$E$2662='Analítico Cx.'!$B79)*(Diário!$B$4:$B$2662&gt;=G$4)*(Diário!$B$4:$B$2662&lt;=EOMONTH(G$4,0))*(Diário!$F$4:$F$2662))</f>
        <v>0</v>
      </c>
      <c r="H79" s="102">
        <f>SUMPRODUCT((Diário!$E$4:$E$2662='Analítico Cx.'!$B79)*(Diário!$B$4:$B$2662&gt;=H$4)*(Diário!$B$4:$B$2662&lt;=EOMONTH(H$4,0))*(Diário!$F$4:$F$2662))</f>
        <v>0</v>
      </c>
      <c r="I79" s="102">
        <f>SUMPRODUCT((Diário!$E$4:$E$2662='Analítico Cx.'!$B79)*(Diário!$B$4:$B$2662&gt;=I$4)*(Diário!$B$4:$B$2662&lt;=EOMONTH(I$4,0))*(Diário!$F$4:$F$2662))</f>
        <v>0</v>
      </c>
      <c r="J79" s="102">
        <f>SUMPRODUCT((Diário!$E$4:$E$2662='Analítico Cx.'!$B79)*(Diário!$B$4:$B$2662&gt;=J$4)*(Diário!$B$4:$B$2662&lt;=EOMONTH(J$4,0))*(Diário!$F$4:$F$2662))</f>
        <v>0</v>
      </c>
      <c r="K79" s="102">
        <f>SUMPRODUCT((Diário!$E$4:$E$2662='Analítico Cx.'!$B79)*(Diário!$B$4:$B$2662&gt;=K$4)*(Diário!$B$4:$B$2662&lt;=EOMONTH(K$4,0))*(Diário!$F$4:$F$2662))</f>
        <v>0</v>
      </c>
      <c r="L79" s="102">
        <f>SUMPRODUCT((Diário!$E$4:$E$2662='Analítico Cx.'!$B79)*(Diário!$B$4:$B$2662&gt;=L$4)*(Diário!$B$4:$B$2662&lt;=EOMONTH(L$4,0))*(Diário!$F$4:$F$2662))</f>
        <v>0</v>
      </c>
      <c r="M79" s="102">
        <f>SUMPRODUCT((Diário!$E$4:$E$2662='Analítico Cx.'!$B79)*(Diário!$B$4:$B$2662&gt;=M$4)*(Diário!$B$4:$B$2662&lt;=EOMONTH(M$4,0))*(Diário!$F$4:$F$2662))</f>
        <v>0</v>
      </c>
      <c r="N79" s="102">
        <f>SUMPRODUCT((Diário!$E$4:$E$2662='Analítico Cx.'!$B79)*(Diário!$B$4:$B$2662&gt;=N$4)*(Diário!$B$4:$B$2662&lt;=EOMONTH(N$4,0))*(Diário!$F$4:$F$2662))</f>
        <v>0</v>
      </c>
      <c r="O79" s="103">
        <f t="shared" si="17"/>
        <v>0</v>
      </c>
      <c r="P79" s="95">
        <f t="shared" si="16"/>
        <v>0</v>
      </c>
    </row>
    <row r="80" spans="1:16" ht="23.25" customHeight="1">
      <c r="A80" s="40" t="s">
        <v>120</v>
      </c>
      <c r="B80" s="60" t="s">
        <v>173</v>
      </c>
      <c r="C80" s="102">
        <f>SUMPRODUCT((Diário!$E$4:$E$2662='Analítico Cx.'!$B80)*(Diário!$B$4:$B$2662&gt;=C$4)*(Diário!$B$4:$B$2662&lt;=EOMONTH(C$4,0))*(Diário!$F$4:$F$2662))</f>
        <v>0</v>
      </c>
      <c r="D80" s="102">
        <f>SUMPRODUCT((Diário!$E$4:$E$2662='Analítico Cx.'!$B80)*(Diário!$B$4:$B$2662&gt;=D$4)*(Diário!$B$4:$B$2662&lt;=EOMONTH(D$4,0))*(Diário!$F$4:$F$2662))</f>
        <v>0</v>
      </c>
      <c r="E80" s="102">
        <f>SUMPRODUCT((Diário!$E$4:$E$2662='Analítico Cx.'!$B80)*(Diário!$B$4:$B$2662&gt;=E$4)*(Diário!$B$4:$B$2662&lt;=EOMONTH(E$4,0))*(Diário!$F$4:$F$2662))</f>
        <v>0</v>
      </c>
      <c r="F80" s="102">
        <f>SUMPRODUCT((Diário!$E$4:$E$2662='Analítico Cx.'!$B80)*(Diário!$B$4:$B$2662&gt;=F$4)*(Diário!$B$4:$B$2662&lt;=EOMONTH(F$4,0))*(Diário!$F$4:$F$2662))</f>
        <v>0</v>
      </c>
      <c r="G80" s="102">
        <f>SUMPRODUCT((Diário!$E$4:$E$2662='Analítico Cx.'!$B80)*(Diário!$B$4:$B$2662&gt;=G$4)*(Diário!$B$4:$B$2662&lt;=EOMONTH(G$4,0))*(Diário!$F$4:$F$2662))</f>
        <v>0</v>
      </c>
      <c r="H80" s="102">
        <f>SUMPRODUCT((Diário!$E$4:$E$2662='Analítico Cx.'!$B80)*(Diário!$B$4:$B$2662&gt;=H$4)*(Diário!$B$4:$B$2662&lt;=EOMONTH(H$4,0))*(Diário!$F$4:$F$2662))</f>
        <v>0</v>
      </c>
      <c r="I80" s="102">
        <f>SUMPRODUCT((Diário!$E$4:$E$2662='Analítico Cx.'!$B80)*(Diário!$B$4:$B$2662&gt;=I$4)*(Diário!$B$4:$B$2662&lt;=EOMONTH(I$4,0))*(Diário!$F$4:$F$2662))</f>
        <v>0</v>
      </c>
      <c r="J80" s="102">
        <f>SUMPRODUCT((Diário!$E$4:$E$2662='Analítico Cx.'!$B80)*(Diário!$B$4:$B$2662&gt;=J$4)*(Diário!$B$4:$B$2662&lt;=EOMONTH(J$4,0))*(Diário!$F$4:$F$2662))</f>
        <v>0</v>
      </c>
      <c r="K80" s="102">
        <f>SUMPRODUCT((Diário!$E$4:$E$2662='Analítico Cx.'!$B80)*(Diário!$B$4:$B$2662&gt;=K$4)*(Diário!$B$4:$B$2662&lt;=EOMONTH(K$4,0))*(Diário!$F$4:$F$2662))</f>
        <v>0</v>
      </c>
      <c r="L80" s="102">
        <f>SUMPRODUCT((Diário!$E$4:$E$2662='Analítico Cx.'!$B80)*(Diário!$B$4:$B$2662&gt;=L$4)*(Diário!$B$4:$B$2662&lt;=EOMONTH(L$4,0))*(Diário!$F$4:$F$2662))</f>
        <v>0</v>
      </c>
      <c r="M80" s="102">
        <f>SUMPRODUCT((Diário!$E$4:$E$2662='Analítico Cx.'!$B80)*(Diário!$B$4:$B$2662&gt;=M$4)*(Diário!$B$4:$B$2662&lt;=EOMONTH(M$4,0))*(Diário!$F$4:$F$2662))</f>
        <v>0</v>
      </c>
      <c r="N80" s="102">
        <f>SUMPRODUCT((Diário!$E$4:$E$2662='Analítico Cx.'!$B80)*(Diário!$B$4:$B$2662&gt;=N$4)*(Diário!$B$4:$B$2662&lt;=EOMONTH(N$4,0))*(Diário!$F$4:$F$2662))</f>
        <v>0</v>
      </c>
      <c r="O80" s="103">
        <f t="shared" si="17"/>
        <v>0</v>
      </c>
      <c r="P80" s="95">
        <f t="shared" si="16"/>
        <v>0</v>
      </c>
    </row>
    <row r="81" spans="1:16" ht="23.25" customHeight="1">
      <c r="A81" s="40" t="s">
        <v>121</v>
      </c>
      <c r="B81" s="60" t="s">
        <v>235</v>
      </c>
      <c r="C81" s="102">
        <f>SUMPRODUCT((Diário!$E$4:$E$2662='Analítico Cx.'!$B81)*(Diário!$B$4:$B$2662&gt;=C$4)*(Diário!$B$4:$B$2662&lt;=EOMONTH(C$4,0))*(Diário!$F$4:$F$2662))</f>
        <v>0</v>
      </c>
      <c r="D81" s="102">
        <f>SUMPRODUCT((Diário!$E$4:$E$2662='Analítico Cx.'!$B81)*(Diário!$B$4:$B$2662&gt;=D$4)*(Diário!$B$4:$B$2662&lt;=EOMONTH(D$4,0))*(Diário!$F$4:$F$2662))</f>
        <v>0</v>
      </c>
      <c r="E81" s="102">
        <f>SUMPRODUCT((Diário!$E$4:$E$2662='Analítico Cx.'!$B81)*(Diário!$B$4:$B$2662&gt;=E$4)*(Diário!$B$4:$B$2662&lt;=EOMONTH(E$4,0))*(Diário!$F$4:$F$2662))</f>
        <v>0</v>
      </c>
      <c r="F81" s="102">
        <f>SUMPRODUCT((Diário!$E$4:$E$2662='Analítico Cx.'!$B81)*(Diário!$B$4:$B$2662&gt;=F$4)*(Diário!$B$4:$B$2662&lt;=EOMONTH(F$4,0))*(Diário!$F$4:$F$2662))</f>
        <v>0</v>
      </c>
      <c r="G81" s="102">
        <f>SUMPRODUCT((Diário!$E$4:$E$2662='Analítico Cx.'!$B81)*(Diário!$B$4:$B$2662&gt;=G$4)*(Diário!$B$4:$B$2662&lt;=EOMONTH(G$4,0))*(Diário!$F$4:$F$2662))</f>
        <v>0</v>
      </c>
      <c r="H81" s="102">
        <f>SUMPRODUCT((Diário!$E$4:$E$2662='Analítico Cx.'!$B81)*(Diário!$B$4:$B$2662&gt;=H$4)*(Diário!$B$4:$B$2662&lt;=EOMONTH(H$4,0))*(Diário!$F$4:$F$2662))</f>
        <v>0</v>
      </c>
      <c r="I81" s="102">
        <f>SUMPRODUCT((Diário!$E$4:$E$2662='Analítico Cx.'!$B81)*(Diário!$B$4:$B$2662&gt;=I$4)*(Diário!$B$4:$B$2662&lt;=EOMONTH(I$4,0))*(Diário!$F$4:$F$2662))</f>
        <v>0</v>
      </c>
      <c r="J81" s="102">
        <f>SUMPRODUCT((Diário!$E$4:$E$2662='Analítico Cx.'!$B81)*(Diário!$B$4:$B$2662&gt;=J$4)*(Diário!$B$4:$B$2662&lt;=EOMONTH(J$4,0))*(Diário!$F$4:$F$2662))</f>
        <v>0</v>
      </c>
      <c r="K81" s="102">
        <f>SUMPRODUCT((Diário!$E$4:$E$2662='Analítico Cx.'!$B81)*(Diário!$B$4:$B$2662&gt;=K$4)*(Diário!$B$4:$B$2662&lt;=EOMONTH(K$4,0))*(Diário!$F$4:$F$2662))</f>
        <v>0</v>
      </c>
      <c r="L81" s="102">
        <f>SUMPRODUCT((Diário!$E$4:$E$2662='Analítico Cx.'!$B81)*(Diário!$B$4:$B$2662&gt;=L$4)*(Diário!$B$4:$B$2662&lt;=EOMONTH(L$4,0))*(Diário!$F$4:$F$2662))</f>
        <v>0</v>
      </c>
      <c r="M81" s="102">
        <f>SUMPRODUCT((Diário!$E$4:$E$2662='Analítico Cx.'!$B81)*(Diário!$B$4:$B$2662&gt;=M$4)*(Diário!$B$4:$B$2662&lt;=EOMONTH(M$4,0))*(Diário!$F$4:$F$2662))</f>
        <v>0</v>
      </c>
      <c r="N81" s="102">
        <f>SUMPRODUCT((Diário!$E$4:$E$2662='Analítico Cx.'!$B81)*(Diário!$B$4:$B$2662&gt;=N$4)*(Diário!$B$4:$B$2662&lt;=EOMONTH(N$4,0))*(Diário!$F$4:$F$2662))</f>
        <v>0</v>
      </c>
      <c r="O81" s="103">
        <f t="shared" si="17"/>
        <v>0</v>
      </c>
      <c r="P81" s="95">
        <f t="shared" si="16"/>
        <v>0</v>
      </c>
    </row>
    <row r="82" spans="1:16" ht="23.25" customHeight="1">
      <c r="A82" s="40" t="s">
        <v>122</v>
      </c>
      <c r="B82" s="60" t="s">
        <v>80</v>
      </c>
      <c r="C82" s="102">
        <f>SUMPRODUCT((Diário!$E$4:$E$2662='Analítico Cx.'!$B82)*(Diário!$B$4:$B$2662&gt;=C$4)*(Diário!$B$4:$B$2662&lt;=EOMONTH(C$4,0))*(Diário!$F$4:$F$2662))</f>
        <v>0</v>
      </c>
      <c r="D82" s="102">
        <f>SUMPRODUCT((Diário!$E$4:$E$2662='Analítico Cx.'!$B82)*(Diário!$B$4:$B$2662&gt;=D$4)*(Diário!$B$4:$B$2662&lt;=EOMONTH(D$4,0))*(Diário!$F$4:$F$2662))</f>
        <v>0</v>
      </c>
      <c r="E82" s="102">
        <f>SUMPRODUCT((Diário!$E$4:$E$2662='Analítico Cx.'!$B82)*(Diário!$B$4:$B$2662&gt;=E$4)*(Diário!$B$4:$B$2662&lt;=EOMONTH(E$4,0))*(Diário!$F$4:$F$2662))</f>
        <v>0</v>
      </c>
      <c r="F82" s="102">
        <f>SUMPRODUCT((Diário!$E$4:$E$2662='Analítico Cx.'!$B82)*(Diário!$B$4:$B$2662&gt;=F$4)*(Diário!$B$4:$B$2662&lt;=EOMONTH(F$4,0))*(Diário!$F$4:$F$2662))</f>
        <v>0</v>
      </c>
      <c r="G82" s="102">
        <f>SUMPRODUCT((Diário!$E$4:$E$2662='Analítico Cx.'!$B82)*(Diário!$B$4:$B$2662&gt;=G$4)*(Diário!$B$4:$B$2662&lt;=EOMONTH(G$4,0))*(Diário!$F$4:$F$2662))</f>
        <v>0</v>
      </c>
      <c r="H82" s="102">
        <f>SUMPRODUCT((Diário!$E$4:$E$2662='Analítico Cx.'!$B82)*(Diário!$B$4:$B$2662&gt;=H$4)*(Diário!$B$4:$B$2662&lt;=EOMONTH(H$4,0))*(Diário!$F$4:$F$2662))</f>
        <v>0</v>
      </c>
      <c r="I82" s="102">
        <f>SUMPRODUCT((Diário!$E$4:$E$2662='Analítico Cx.'!$B82)*(Diário!$B$4:$B$2662&gt;=I$4)*(Diário!$B$4:$B$2662&lt;=EOMONTH(I$4,0))*(Diário!$F$4:$F$2662))</f>
        <v>0</v>
      </c>
      <c r="J82" s="102">
        <f>SUMPRODUCT((Diário!$E$4:$E$2662='Analítico Cx.'!$B82)*(Diário!$B$4:$B$2662&gt;=J$4)*(Diário!$B$4:$B$2662&lt;=EOMONTH(J$4,0))*(Diário!$F$4:$F$2662))</f>
        <v>0</v>
      </c>
      <c r="K82" s="102">
        <f>SUMPRODUCT((Diário!$E$4:$E$2662='Analítico Cx.'!$B82)*(Diário!$B$4:$B$2662&gt;=K$4)*(Diário!$B$4:$B$2662&lt;=EOMONTH(K$4,0))*(Diário!$F$4:$F$2662))</f>
        <v>0</v>
      </c>
      <c r="L82" s="102">
        <f>SUMPRODUCT((Diário!$E$4:$E$2662='Analítico Cx.'!$B82)*(Diário!$B$4:$B$2662&gt;=L$4)*(Diário!$B$4:$B$2662&lt;=EOMONTH(L$4,0))*(Diário!$F$4:$F$2662))</f>
        <v>0</v>
      </c>
      <c r="M82" s="102">
        <f>SUMPRODUCT((Diário!$E$4:$E$2662='Analítico Cx.'!$B82)*(Diário!$B$4:$B$2662&gt;=M$4)*(Diário!$B$4:$B$2662&lt;=EOMONTH(M$4,0))*(Diário!$F$4:$F$2662))</f>
        <v>0</v>
      </c>
      <c r="N82" s="102">
        <f>SUMPRODUCT((Diário!$E$4:$E$2662='Analítico Cx.'!$B82)*(Diário!$B$4:$B$2662&gt;=N$4)*(Diário!$B$4:$B$2662&lt;=EOMONTH(N$4,0))*(Diário!$F$4:$F$2662))</f>
        <v>0</v>
      </c>
      <c r="O82" s="103">
        <f t="shared" si="17"/>
        <v>0</v>
      </c>
      <c r="P82" s="95">
        <f t="shared" si="16"/>
        <v>0</v>
      </c>
    </row>
    <row r="83" spans="1:16" ht="23.25" customHeight="1">
      <c r="A83" s="40" t="s">
        <v>123</v>
      </c>
      <c r="B83" s="60" t="s">
        <v>289</v>
      </c>
      <c r="C83" s="102">
        <f>SUMPRODUCT((Diário!$E$4:$E$2662='Analítico Cx.'!$B83)*(Diário!$B$4:$B$2662&gt;=C$4)*(Diário!$B$4:$B$2662&lt;=EOMONTH(C$4,0))*(Diário!$F$4:$F$2662))</f>
        <v>0</v>
      </c>
      <c r="D83" s="102">
        <f>SUMPRODUCT((Diário!$E$4:$E$2662='Analítico Cx.'!$B83)*(Diário!$B$4:$B$2662&gt;=D$4)*(Diário!$B$4:$B$2662&lt;=EOMONTH(D$4,0))*(Diário!$F$4:$F$2662))</f>
        <v>0</v>
      </c>
      <c r="E83" s="102">
        <f>SUMPRODUCT((Diário!$E$4:$E$2662='Analítico Cx.'!$B83)*(Diário!$B$4:$B$2662&gt;=E$4)*(Diário!$B$4:$B$2662&lt;=EOMONTH(E$4,0))*(Diário!$F$4:$F$2662))</f>
        <v>0</v>
      </c>
      <c r="F83" s="102">
        <f>SUMPRODUCT((Diário!$E$4:$E$2662='Analítico Cx.'!$B83)*(Diário!$B$4:$B$2662&gt;=F$4)*(Diário!$B$4:$B$2662&lt;=EOMONTH(F$4,0))*(Diário!$F$4:$F$2662))</f>
        <v>0</v>
      </c>
      <c r="G83" s="102">
        <f>SUMPRODUCT((Diário!$E$4:$E$2662='Analítico Cx.'!$B83)*(Diário!$B$4:$B$2662&gt;=G$4)*(Diário!$B$4:$B$2662&lt;=EOMONTH(G$4,0))*(Diário!$F$4:$F$2662))</f>
        <v>0</v>
      </c>
      <c r="H83" s="102">
        <f>SUMPRODUCT((Diário!$E$4:$E$2662='Analítico Cx.'!$B83)*(Diário!$B$4:$B$2662&gt;=H$4)*(Diário!$B$4:$B$2662&lt;=EOMONTH(H$4,0))*(Diário!$F$4:$F$2662))</f>
        <v>0</v>
      </c>
      <c r="I83" s="102">
        <f>SUMPRODUCT((Diário!$E$4:$E$2662='Analítico Cx.'!$B83)*(Diário!$B$4:$B$2662&gt;=I$4)*(Diário!$B$4:$B$2662&lt;=EOMONTH(I$4,0))*(Diário!$F$4:$F$2662))</f>
        <v>0</v>
      </c>
      <c r="J83" s="102">
        <f>SUMPRODUCT((Diário!$E$4:$E$2662='Analítico Cx.'!$B83)*(Diário!$B$4:$B$2662&gt;=J$4)*(Diário!$B$4:$B$2662&lt;=EOMONTH(J$4,0))*(Diário!$F$4:$F$2662))</f>
        <v>0</v>
      </c>
      <c r="K83" s="102">
        <f>SUMPRODUCT((Diário!$E$4:$E$2662='Analítico Cx.'!$B83)*(Diário!$B$4:$B$2662&gt;=K$4)*(Diário!$B$4:$B$2662&lt;=EOMONTH(K$4,0))*(Diário!$F$4:$F$2662))</f>
        <v>0</v>
      </c>
      <c r="L83" s="102">
        <f>SUMPRODUCT((Diário!$E$4:$E$2662='Analítico Cx.'!$B83)*(Diário!$B$4:$B$2662&gt;=L$4)*(Diário!$B$4:$B$2662&lt;=EOMONTH(L$4,0))*(Diário!$F$4:$F$2662))</f>
        <v>0</v>
      </c>
      <c r="M83" s="102">
        <f>SUMPRODUCT((Diário!$E$4:$E$2662='Analítico Cx.'!$B83)*(Diário!$B$4:$B$2662&gt;=M$4)*(Diário!$B$4:$B$2662&lt;=EOMONTH(M$4,0))*(Diário!$F$4:$F$2662))</f>
        <v>0</v>
      </c>
      <c r="N83" s="102">
        <f>SUMPRODUCT((Diário!$E$4:$E$2662='Analítico Cx.'!$B83)*(Diário!$B$4:$B$2662&gt;=N$4)*(Diário!$B$4:$B$2662&lt;=EOMONTH(N$4,0))*(Diário!$F$4:$F$2662))</f>
        <v>0</v>
      </c>
      <c r="O83" s="103">
        <f t="shared" si="17"/>
        <v>0</v>
      </c>
      <c r="P83" s="95">
        <f t="shared" si="16"/>
        <v>0</v>
      </c>
    </row>
    <row r="84" spans="1:16" ht="23.25" customHeight="1">
      <c r="A84" s="40" t="s">
        <v>133</v>
      </c>
      <c r="B84" s="60" t="s">
        <v>70</v>
      </c>
      <c r="C84" s="102">
        <f>SUMPRODUCT((Diário!$E$4:$E$2662='Analítico Cx.'!$B84)*(Diário!$B$4:$B$2662&gt;=C$4)*(Diário!$B$4:$B$2662&lt;=EOMONTH(C$4,0))*(Diário!$F$4:$F$2662))</f>
        <v>0</v>
      </c>
      <c r="D84" s="102">
        <f>SUMPRODUCT((Diário!$E$4:$E$2662='Analítico Cx.'!$B84)*(Diário!$B$4:$B$2662&gt;=D$4)*(Diário!$B$4:$B$2662&lt;=EOMONTH(D$4,0))*(Diário!$F$4:$F$2662))</f>
        <v>2704</v>
      </c>
      <c r="E84" s="102">
        <f>SUMPRODUCT((Diário!$E$4:$E$2662='Analítico Cx.'!$B84)*(Diário!$B$4:$B$2662&gt;=E$4)*(Diário!$B$4:$B$2662&lt;=EOMONTH(E$4,0))*(Diário!$F$4:$F$2662))</f>
        <v>2706</v>
      </c>
      <c r="F84" s="102">
        <f>SUMPRODUCT((Diário!$E$4:$E$2662='Analítico Cx.'!$B84)*(Diário!$B$4:$B$2662&gt;=F$4)*(Diário!$B$4:$B$2662&lt;=EOMONTH(F$4,0))*(Diário!$F$4:$F$2662))</f>
        <v>4490.2299999999996</v>
      </c>
      <c r="G84" s="102">
        <f>SUMPRODUCT((Diário!$E$4:$E$2662='Analítico Cx.'!$B84)*(Diário!$B$4:$B$2662&gt;=G$4)*(Diário!$B$4:$B$2662&lt;=EOMONTH(G$4,0))*(Diário!$F$4:$F$2662))</f>
        <v>10824</v>
      </c>
      <c r="H84" s="102">
        <f>SUMPRODUCT((Diário!$E$4:$E$2662='Analítico Cx.'!$B84)*(Diário!$B$4:$B$2662&gt;=H$4)*(Diário!$B$4:$B$2662&lt;=EOMONTH(H$4,0))*(Diário!$F$4:$F$2662))</f>
        <v>0</v>
      </c>
      <c r="I84" s="102">
        <f>SUMPRODUCT((Diário!$E$4:$E$2662='Analítico Cx.'!$B84)*(Diário!$B$4:$B$2662&gt;=I$4)*(Diário!$B$4:$B$2662&lt;=EOMONTH(I$4,0))*(Diário!$F$4:$F$2662))</f>
        <v>0</v>
      </c>
      <c r="J84" s="102">
        <f>SUMPRODUCT((Diário!$E$4:$E$2662='Analítico Cx.'!$B84)*(Diário!$B$4:$B$2662&gt;=J$4)*(Diário!$B$4:$B$2662&lt;=EOMONTH(J$4,0))*(Diário!$F$4:$F$2662))</f>
        <v>0</v>
      </c>
      <c r="K84" s="102">
        <f>SUMPRODUCT((Diário!$E$4:$E$2662='Analítico Cx.'!$B84)*(Diário!$B$4:$B$2662&gt;=K$4)*(Diário!$B$4:$B$2662&lt;=EOMONTH(K$4,0))*(Diário!$F$4:$F$2662))</f>
        <v>0</v>
      </c>
      <c r="L84" s="102">
        <f>SUMPRODUCT((Diário!$E$4:$E$2662='Analítico Cx.'!$B84)*(Diário!$B$4:$B$2662&gt;=L$4)*(Diário!$B$4:$B$2662&lt;=EOMONTH(L$4,0))*(Diário!$F$4:$F$2662))</f>
        <v>0</v>
      </c>
      <c r="M84" s="102">
        <f>SUMPRODUCT((Diário!$E$4:$E$2662='Analítico Cx.'!$B84)*(Diário!$B$4:$B$2662&gt;=M$4)*(Diário!$B$4:$B$2662&lt;=EOMONTH(M$4,0))*(Diário!$F$4:$F$2662))</f>
        <v>0</v>
      </c>
      <c r="N84" s="102">
        <f>SUMPRODUCT((Diário!$E$4:$E$2662='Analítico Cx.'!$B84)*(Diário!$B$4:$B$2662&gt;=N$4)*(Diário!$B$4:$B$2662&lt;=EOMONTH(N$4,0))*(Diário!$F$4:$F$2662))</f>
        <v>0</v>
      </c>
      <c r="O84" s="103">
        <f t="shared" si="17"/>
        <v>20724.23</v>
      </c>
      <c r="P84" s="95">
        <f t="shared" si="16"/>
        <v>1.0701286883571411E-3</v>
      </c>
    </row>
    <row r="85" spans="1:16" ht="23.25" customHeight="1">
      <c r="A85" s="40" t="s">
        <v>134</v>
      </c>
      <c r="B85" s="60" t="s">
        <v>174</v>
      </c>
      <c r="C85" s="102">
        <f>SUMPRODUCT((Diário!$E$4:$E$2662='Analítico Cx.'!$B85)*(Diário!$B$4:$B$2662&gt;=C$4)*(Diário!$B$4:$B$2662&lt;=EOMONTH(C$4,0))*(Diário!$F$4:$F$2662))</f>
        <v>0</v>
      </c>
      <c r="D85" s="102">
        <f>SUMPRODUCT((Diário!$E$4:$E$2662='Analítico Cx.'!$B85)*(Diário!$B$4:$B$2662&gt;=D$4)*(Diário!$B$4:$B$2662&lt;=EOMONTH(D$4,0))*(Diário!$F$4:$F$2662))</f>
        <v>0</v>
      </c>
      <c r="E85" s="102">
        <f>SUMPRODUCT((Diário!$E$4:$E$2662='Analítico Cx.'!$B85)*(Diário!$B$4:$B$2662&gt;=E$4)*(Diário!$B$4:$B$2662&lt;=EOMONTH(E$4,0))*(Diário!$F$4:$F$2662))</f>
        <v>0</v>
      </c>
      <c r="F85" s="102">
        <f>SUMPRODUCT((Diário!$E$4:$E$2662='Analítico Cx.'!$B85)*(Diário!$B$4:$B$2662&gt;=F$4)*(Diário!$B$4:$B$2662&lt;=EOMONTH(F$4,0))*(Diário!$F$4:$F$2662))</f>
        <v>0</v>
      </c>
      <c r="G85" s="102">
        <f>SUMPRODUCT((Diário!$E$4:$E$2662='Analítico Cx.'!$B85)*(Diário!$B$4:$B$2662&gt;=G$4)*(Diário!$B$4:$B$2662&lt;=EOMONTH(G$4,0))*(Diário!$F$4:$F$2662))</f>
        <v>0</v>
      </c>
      <c r="H85" s="102">
        <f>SUMPRODUCT((Diário!$E$4:$E$2662='Analítico Cx.'!$B85)*(Diário!$B$4:$B$2662&gt;=H$4)*(Diário!$B$4:$B$2662&lt;=EOMONTH(H$4,0))*(Diário!$F$4:$F$2662))</f>
        <v>0</v>
      </c>
      <c r="I85" s="102">
        <f>SUMPRODUCT((Diário!$E$4:$E$2662='Analítico Cx.'!$B85)*(Diário!$B$4:$B$2662&gt;=I$4)*(Diário!$B$4:$B$2662&lt;=EOMONTH(I$4,0))*(Diário!$F$4:$F$2662))</f>
        <v>0</v>
      </c>
      <c r="J85" s="102">
        <f>SUMPRODUCT((Diário!$E$4:$E$2662='Analítico Cx.'!$B85)*(Diário!$B$4:$B$2662&gt;=J$4)*(Diário!$B$4:$B$2662&lt;=EOMONTH(J$4,0))*(Diário!$F$4:$F$2662))</f>
        <v>0</v>
      </c>
      <c r="K85" s="102">
        <f>SUMPRODUCT((Diário!$E$4:$E$2662='Analítico Cx.'!$B85)*(Diário!$B$4:$B$2662&gt;=K$4)*(Diário!$B$4:$B$2662&lt;=EOMONTH(K$4,0))*(Diário!$F$4:$F$2662))</f>
        <v>0</v>
      </c>
      <c r="L85" s="102">
        <f>SUMPRODUCT((Diário!$E$4:$E$2662='Analítico Cx.'!$B85)*(Diário!$B$4:$B$2662&gt;=L$4)*(Diário!$B$4:$B$2662&lt;=EOMONTH(L$4,0))*(Diário!$F$4:$F$2662))</f>
        <v>0</v>
      </c>
      <c r="M85" s="102">
        <f>SUMPRODUCT((Diário!$E$4:$E$2662='Analítico Cx.'!$B85)*(Diário!$B$4:$B$2662&gt;=M$4)*(Diário!$B$4:$B$2662&lt;=EOMONTH(M$4,0))*(Diário!$F$4:$F$2662))</f>
        <v>0</v>
      </c>
      <c r="N85" s="102">
        <f>SUMPRODUCT((Diário!$E$4:$E$2662='Analítico Cx.'!$B85)*(Diário!$B$4:$B$2662&gt;=N$4)*(Diário!$B$4:$B$2662&lt;=EOMONTH(N$4,0))*(Diário!$F$4:$F$2662))</f>
        <v>0</v>
      </c>
      <c r="O85" s="103">
        <f t="shared" si="17"/>
        <v>0</v>
      </c>
      <c r="P85" s="95">
        <f t="shared" si="16"/>
        <v>0</v>
      </c>
    </row>
    <row r="86" spans="1:16" ht="23.25" customHeight="1">
      <c r="A86" s="40" t="s">
        <v>135</v>
      </c>
      <c r="B86" s="60" t="s">
        <v>78</v>
      </c>
      <c r="C86" s="102">
        <f>SUMPRODUCT((Diário!$E$4:$E$2662='Analítico Cx.'!$B86)*(Diário!$B$4:$B$2662&gt;=C$4)*(Diário!$B$4:$B$2662&lt;=EOMONTH(C$4,0))*(Diário!$F$4:$F$2662))</f>
        <v>11440.259999999997</v>
      </c>
      <c r="D86" s="102">
        <f>SUMPRODUCT((Diário!$E$4:$E$2662='Analítico Cx.'!$B86)*(Diário!$B$4:$B$2662&gt;=D$4)*(Diário!$B$4:$B$2662&lt;=EOMONTH(D$4,0))*(Diário!$F$4:$F$2662))</f>
        <v>17172.960000000003</v>
      </c>
      <c r="E86" s="102">
        <f>SUMPRODUCT((Diário!$E$4:$E$2662='Analítico Cx.'!$B86)*(Diário!$B$4:$B$2662&gt;=E$4)*(Diário!$B$4:$B$2662&lt;=EOMONTH(E$4,0))*(Diário!$F$4:$F$2662))</f>
        <v>20699.150000000001</v>
      </c>
      <c r="F86" s="102">
        <f>SUMPRODUCT((Diário!$E$4:$E$2662='Analítico Cx.'!$B86)*(Diário!$B$4:$B$2662&gt;=F$4)*(Diário!$B$4:$B$2662&lt;=EOMONTH(F$4,0))*(Diário!$F$4:$F$2662))</f>
        <v>24722.050000000003</v>
      </c>
      <c r="G86" s="102">
        <f>SUMPRODUCT((Diário!$E$4:$E$2662='Analítico Cx.'!$B86)*(Diário!$B$4:$B$2662&gt;=G$4)*(Diário!$B$4:$B$2662&lt;=EOMONTH(G$4,0))*(Diário!$F$4:$F$2662))</f>
        <v>21083.61</v>
      </c>
      <c r="H86" s="102">
        <f>SUMPRODUCT((Diário!$E$4:$E$2662='Analítico Cx.'!$B86)*(Diário!$B$4:$B$2662&gt;=H$4)*(Diário!$B$4:$B$2662&lt;=EOMONTH(H$4,0))*(Diário!$F$4:$F$2662))</f>
        <v>26772.870000000003</v>
      </c>
      <c r="I86" s="102">
        <f>SUMPRODUCT((Diário!$E$4:$E$2662='Analítico Cx.'!$B86)*(Diário!$B$4:$B$2662&gt;=I$4)*(Diário!$B$4:$B$2662&lt;=EOMONTH(I$4,0))*(Diário!$F$4:$F$2662))</f>
        <v>0</v>
      </c>
      <c r="J86" s="102">
        <f>SUMPRODUCT((Diário!$E$4:$E$2662='Analítico Cx.'!$B86)*(Diário!$B$4:$B$2662&gt;=J$4)*(Diário!$B$4:$B$2662&lt;=EOMONTH(J$4,0))*(Diário!$F$4:$F$2662))</f>
        <v>0</v>
      </c>
      <c r="K86" s="102">
        <f>SUMPRODUCT((Diário!$E$4:$E$2662='Analítico Cx.'!$B86)*(Diário!$B$4:$B$2662&gt;=K$4)*(Diário!$B$4:$B$2662&lt;=EOMONTH(K$4,0))*(Diário!$F$4:$F$2662))</f>
        <v>0</v>
      </c>
      <c r="L86" s="102">
        <f>SUMPRODUCT((Diário!$E$4:$E$2662='Analítico Cx.'!$B86)*(Diário!$B$4:$B$2662&gt;=L$4)*(Diário!$B$4:$B$2662&lt;=EOMONTH(L$4,0))*(Diário!$F$4:$F$2662))</f>
        <v>0</v>
      </c>
      <c r="M86" s="102">
        <f>SUMPRODUCT((Diário!$E$4:$E$2662='Analítico Cx.'!$B86)*(Diário!$B$4:$B$2662&gt;=M$4)*(Diário!$B$4:$B$2662&lt;=EOMONTH(M$4,0))*(Diário!$F$4:$F$2662))</f>
        <v>0</v>
      </c>
      <c r="N86" s="102">
        <f>SUMPRODUCT((Diário!$E$4:$E$2662='Analítico Cx.'!$B86)*(Diário!$B$4:$B$2662&gt;=N$4)*(Diário!$B$4:$B$2662&lt;=EOMONTH(N$4,0))*(Diário!$F$4:$F$2662))</f>
        <v>0</v>
      </c>
      <c r="O86" s="103">
        <f t="shared" si="17"/>
        <v>121890.90000000002</v>
      </c>
      <c r="P86" s="95">
        <f t="shared" si="16"/>
        <v>6.2940311384148641E-3</v>
      </c>
    </row>
    <row r="87" spans="1:16" ht="23.25" customHeight="1">
      <c r="A87" s="40" t="s">
        <v>136</v>
      </c>
      <c r="B87" s="60" t="s">
        <v>74</v>
      </c>
      <c r="C87" s="102">
        <f>SUMPRODUCT((Diário!$E$4:$E$2662='Analítico Cx.'!$B87)*(Diário!$B$4:$B$2662&gt;=C$4)*(Diário!$B$4:$B$2662&lt;=EOMONTH(C$4,0))*(Diário!$F$4:$F$2662))</f>
        <v>0</v>
      </c>
      <c r="D87" s="102">
        <f>SUMPRODUCT((Diário!$E$4:$E$2662='Analítico Cx.'!$B87)*(Diário!$B$4:$B$2662&gt;=D$4)*(Diário!$B$4:$B$2662&lt;=EOMONTH(D$4,0))*(Diário!$F$4:$F$2662))</f>
        <v>1440.9</v>
      </c>
      <c r="E87" s="102">
        <f>SUMPRODUCT((Diário!$E$4:$E$2662='Analítico Cx.'!$B87)*(Diário!$B$4:$B$2662&gt;=E$4)*(Diário!$B$4:$B$2662&lt;=EOMONTH(E$4,0))*(Diário!$F$4:$F$2662))</f>
        <v>23229.89</v>
      </c>
      <c r="F87" s="102">
        <f>SUMPRODUCT((Diário!$E$4:$E$2662='Analítico Cx.'!$B87)*(Diário!$B$4:$B$2662&gt;=F$4)*(Diário!$B$4:$B$2662&lt;=EOMONTH(F$4,0))*(Diário!$F$4:$F$2662))</f>
        <v>1287.51</v>
      </c>
      <c r="G87" s="102">
        <f>SUMPRODUCT((Diário!$E$4:$E$2662='Analítico Cx.'!$B87)*(Diário!$B$4:$B$2662&gt;=G$4)*(Diário!$B$4:$B$2662&lt;=EOMONTH(G$4,0))*(Diário!$F$4:$F$2662))</f>
        <v>198</v>
      </c>
      <c r="H87" s="102">
        <f>SUMPRODUCT((Diário!$E$4:$E$2662='Analítico Cx.'!$B87)*(Diário!$B$4:$B$2662&gt;=H$4)*(Diário!$B$4:$B$2662&lt;=EOMONTH(H$4,0))*(Diário!$F$4:$F$2662))</f>
        <v>214</v>
      </c>
      <c r="I87" s="102">
        <f>SUMPRODUCT((Diário!$E$4:$E$2662='Analítico Cx.'!$B87)*(Diário!$B$4:$B$2662&gt;=I$4)*(Diário!$B$4:$B$2662&lt;=EOMONTH(I$4,0))*(Diário!$F$4:$F$2662))</f>
        <v>0</v>
      </c>
      <c r="J87" s="102">
        <f>SUMPRODUCT((Diário!$E$4:$E$2662='Analítico Cx.'!$B87)*(Diário!$B$4:$B$2662&gt;=J$4)*(Diário!$B$4:$B$2662&lt;=EOMONTH(J$4,0))*(Diário!$F$4:$F$2662))</f>
        <v>0</v>
      </c>
      <c r="K87" s="102">
        <f>SUMPRODUCT((Diário!$E$4:$E$2662='Analítico Cx.'!$B87)*(Diário!$B$4:$B$2662&gt;=K$4)*(Diário!$B$4:$B$2662&lt;=EOMONTH(K$4,0))*(Diário!$F$4:$F$2662))</f>
        <v>0</v>
      </c>
      <c r="L87" s="102">
        <f>SUMPRODUCT((Diário!$E$4:$E$2662='Analítico Cx.'!$B87)*(Diário!$B$4:$B$2662&gt;=L$4)*(Diário!$B$4:$B$2662&lt;=EOMONTH(L$4,0))*(Diário!$F$4:$F$2662))</f>
        <v>0</v>
      </c>
      <c r="M87" s="102">
        <f>SUMPRODUCT((Diário!$E$4:$E$2662='Analítico Cx.'!$B87)*(Diário!$B$4:$B$2662&gt;=M$4)*(Diário!$B$4:$B$2662&lt;=EOMONTH(M$4,0))*(Diário!$F$4:$F$2662))</f>
        <v>0</v>
      </c>
      <c r="N87" s="102">
        <f>SUMPRODUCT((Diário!$E$4:$E$2662='Analítico Cx.'!$B87)*(Diário!$B$4:$B$2662&gt;=N$4)*(Diário!$B$4:$B$2662&lt;=EOMONTH(N$4,0))*(Diário!$F$4:$F$2662))</f>
        <v>0</v>
      </c>
      <c r="O87" s="103">
        <f t="shared" si="17"/>
        <v>26370.3</v>
      </c>
      <c r="P87" s="95">
        <f t="shared" si="16"/>
        <v>1.3616725229639083E-3</v>
      </c>
    </row>
    <row r="88" spans="1:16" ht="23.25" customHeight="1">
      <c r="A88" s="40" t="s">
        <v>137</v>
      </c>
      <c r="B88" s="60" t="s">
        <v>162</v>
      </c>
      <c r="C88" s="102">
        <f>SUMPRODUCT((Diário!$E$4:$E$2662='Analítico Cx.'!$B88)*(Diário!$B$4:$B$2662&gt;=C$4)*(Diário!$B$4:$B$2662&lt;=EOMONTH(C$4,0))*(Diário!$F$4:$F$2662))</f>
        <v>0</v>
      </c>
      <c r="D88" s="102">
        <f>SUMPRODUCT((Diário!$E$4:$E$2662='Analítico Cx.'!$B88)*(Diário!$B$4:$B$2662&gt;=D$4)*(Diário!$B$4:$B$2662&lt;=EOMONTH(D$4,0))*(Diário!$F$4:$F$2662))</f>
        <v>0</v>
      </c>
      <c r="E88" s="102">
        <f>SUMPRODUCT((Diário!$E$4:$E$2662='Analítico Cx.'!$B88)*(Diário!$B$4:$B$2662&gt;=E$4)*(Diário!$B$4:$B$2662&lt;=EOMONTH(E$4,0))*(Diário!$F$4:$F$2662))</f>
        <v>0</v>
      </c>
      <c r="F88" s="102">
        <f>SUMPRODUCT((Diário!$E$4:$E$2662='Analítico Cx.'!$B88)*(Diário!$B$4:$B$2662&gt;=F$4)*(Diário!$B$4:$B$2662&lt;=EOMONTH(F$4,0))*(Diário!$F$4:$F$2662))</f>
        <v>0</v>
      </c>
      <c r="G88" s="102">
        <f>SUMPRODUCT((Diário!$E$4:$E$2662='Analítico Cx.'!$B88)*(Diário!$B$4:$B$2662&gt;=G$4)*(Diário!$B$4:$B$2662&lt;=EOMONTH(G$4,0))*(Diário!$F$4:$F$2662))</f>
        <v>0</v>
      </c>
      <c r="H88" s="102">
        <f>SUMPRODUCT((Diário!$E$4:$E$2662='Analítico Cx.'!$B88)*(Diário!$B$4:$B$2662&gt;=H$4)*(Diário!$B$4:$B$2662&lt;=EOMONTH(H$4,0))*(Diário!$F$4:$F$2662))</f>
        <v>0</v>
      </c>
      <c r="I88" s="102">
        <f>SUMPRODUCT((Diário!$E$4:$E$2662='Analítico Cx.'!$B88)*(Diário!$B$4:$B$2662&gt;=I$4)*(Diário!$B$4:$B$2662&lt;=EOMONTH(I$4,0))*(Diário!$F$4:$F$2662))</f>
        <v>0</v>
      </c>
      <c r="J88" s="102">
        <f>SUMPRODUCT((Diário!$E$4:$E$2662='Analítico Cx.'!$B88)*(Diário!$B$4:$B$2662&gt;=J$4)*(Diário!$B$4:$B$2662&lt;=EOMONTH(J$4,0))*(Diário!$F$4:$F$2662))</f>
        <v>0</v>
      </c>
      <c r="K88" s="102">
        <f>SUMPRODUCT((Diário!$E$4:$E$2662='Analítico Cx.'!$B88)*(Diário!$B$4:$B$2662&gt;=K$4)*(Diário!$B$4:$B$2662&lt;=EOMONTH(K$4,0))*(Diário!$F$4:$F$2662))</f>
        <v>0</v>
      </c>
      <c r="L88" s="102">
        <f>SUMPRODUCT((Diário!$E$4:$E$2662='Analítico Cx.'!$B88)*(Diário!$B$4:$B$2662&gt;=L$4)*(Diário!$B$4:$B$2662&lt;=EOMONTH(L$4,0))*(Diário!$F$4:$F$2662))</f>
        <v>0</v>
      </c>
      <c r="M88" s="102">
        <f>SUMPRODUCT((Diário!$E$4:$E$2662='Analítico Cx.'!$B88)*(Diário!$B$4:$B$2662&gt;=M$4)*(Diário!$B$4:$B$2662&lt;=EOMONTH(M$4,0))*(Diário!$F$4:$F$2662))</f>
        <v>0</v>
      </c>
      <c r="N88" s="102">
        <f>SUMPRODUCT((Diário!$E$4:$E$2662='Analítico Cx.'!$B88)*(Diário!$B$4:$B$2662&gt;=N$4)*(Diário!$B$4:$B$2662&lt;=EOMONTH(N$4,0))*(Diário!$F$4:$F$2662))</f>
        <v>0</v>
      </c>
      <c r="O88" s="103">
        <f t="shared" si="17"/>
        <v>0</v>
      </c>
      <c r="P88" s="95">
        <f t="shared" si="16"/>
        <v>0</v>
      </c>
    </row>
    <row r="89" spans="1:16" ht="23.25" customHeight="1">
      <c r="A89" s="40" t="s">
        <v>138</v>
      </c>
      <c r="B89" s="60" t="s">
        <v>54</v>
      </c>
      <c r="C89" s="102">
        <f>SUMPRODUCT((Diário!$E$4:$E$2662='Analítico Cx.'!$B89)*(Diário!$B$4:$B$2662&gt;=C$4)*(Diário!$B$4:$B$2662&lt;=EOMONTH(C$4,0))*(Diário!$F$4:$F$2662))</f>
        <v>4226.7700000000004</v>
      </c>
      <c r="D89" s="102">
        <f>SUMPRODUCT((Diário!$E$4:$E$2662='Analítico Cx.'!$B89)*(Diário!$B$4:$B$2662&gt;=D$4)*(Diário!$B$4:$B$2662&lt;=EOMONTH(D$4,0))*(Diário!$F$4:$F$2662))</f>
        <v>883.99</v>
      </c>
      <c r="E89" s="102">
        <f>SUMPRODUCT((Diário!$E$4:$E$2662='Analítico Cx.'!$B89)*(Diário!$B$4:$B$2662&gt;=E$4)*(Diário!$B$4:$B$2662&lt;=EOMONTH(E$4,0))*(Diário!$F$4:$F$2662))</f>
        <v>3440.31</v>
      </c>
      <c r="F89" s="102">
        <f>SUMPRODUCT((Diário!$E$4:$E$2662='Analítico Cx.'!$B89)*(Diário!$B$4:$B$2662&gt;=F$4)*(Diário!$B$4:$B$2662&lt;=EOMONTH(F$4,0))*(Diário!$F$4:$F$2662))</f>
        <v>1377.48</v>
      </c>
      <c r="G89" s="102">
        <f>SUMPRODUCT((Diário!$E$4:$E$2662='Analítico Cx.'!$B89)*(Diário!$B$4:$B$2662&gt;=G$4)*(Diário!$B$4:$B$2662&lt;=EOMONTH(G$4,0))*(Diário!$F$4:$F$2662))</f>
        <v>65.16</v>
      </c>
      <c r="H89" s="102">
        <f>SUMPRODUCT((Diário!$E$4:$E$2662='Analítico Cx.'!$B89)*(Diário!$B$4:$B$2662&gt;=H$4)*(Diário!$B$4:$B$2662&lt;=EOMONTH(H$4,0))*(Diário!$F$4:$F$2662))</f>
        <v>69.55</v>
      </c>
      <c r="I89" s="102">
        <f>SUMPRODUCT((Diário!$E$4:$E$2662='Analítico Cx.'!$B89)*(Diário!$B$4:$B$2662&gt;=I$4)*(Diário!$B$4:$B$2662&lt;=EOMONTH(I$4,0))*(Diário!$F$4:$F$2662))</f>
        <v>0</v>
      </c>
      <c r="J89" s="102">
        <f>SUMPRODUCT((Diário!$E$4:$E$2662='Analítico Cx.'!$B89)*(Diário!$B$4:$B$2662&gt;=J$4)*(Diário!$B$4:$B$2662&lt;=EOMONTH(J$4,0))*(Diário!$F$4:$F$2662))</f>
        <v>0</v>
      </c>
      <c r="K89" s="102">
        <f>SUMPRODUCT((Diário!$E$4:$E$2662='Analítico Cx.'!$B89)*(Diário!$B$4:$B$2662&gt;=K$4)*(Diário!$B$4:$B$2662&lt;=EOMONTH(K$4,0))*(Diário!$F$4:$F$2662))</f>
        <v>0</v>
      </c>
      <c r="L89" s="102">
        <f>SUMPRODUCT((Diário!$E$4:$E$2662='Analítico Cx.'!$B89)*(Diário!$B$4:$B$2662&gt;=L$4)*(Diário!$B$4:$B$2662&lt;=EOMONTH(L$4,0))*(Diário!$F$4:$F$2662))</f>
        <v>0</v>
      </c>
      <c r="M89" s="102">
        <f>SUMPRODUCT((Diário!$E$4:$E$2662='Analítico Cx.'!$B89)*(Diário!$B$4:$B$2662&gt;=M$4)*(Diário!$B$4:$B$2662&lt;=EOMONTH(M$4,0))*(Diário!$F$4:$F$2662))</f>
        <v>0</v>
      </c>
      <c r="N89" s="102">
        <f>SUMPRODUCT((Diário!$E$4:$E$2662='Analítico Cx.'!$B89)*(Diário!$B$4:$B$2662&gt;=N$4)*(Diário!$B$4:$B$2662&lt;=EOMONTH(N$4,0))*(Diário!$F$4:$F$2662))</f>
        <v>0</v>
      </c>
      <c r="O89" s="103">
        <f t="shared" si="17"/>
        <v>10063.259999999998</v>
      </c>
      <c r="P89" s="95">
        <f t="shared" si="16"/>
        <v>5.1963248933238452E-4</v>
      </c>
    </row>
    <row r="90" spans="1:16" ht="23.25" customHeight="1">
      <c r="A90" s="40" t="s">
        <v>139</v>
      </c>
      <c r="B90" s="60" t="s">
        <v>53</v>
      </c>
      <c r="C90" s="102">
        <f>SUMPRODUCT((Diário!$E$4:$E$2662='Analítico Cx.'!$B90)*(Diário!$B$4:$B$2662&gt;=C$4)*(Diário!$B$4:$B$2662&lt;=EOMONTH(C$4,0))*(Diário!$F$4:$F$2662))</f>
        <v>221.8</v>
      </c>
      <c r="D90" s="102">
        <f>SUMPRODUCT((Diário!$E$4:$E$2662='Analítico Cx.'!$B90)*(Diário!$B$4:$B$2662&gt;=D$4)*(Diário!$B$4:$B$2662&lt;=EOMONTH(D$4,0))*(Diário!$F$4:$F$2662))</f>
        <v>0</v>
      </c>
      <c r="E90" s="102">
        <f>SUMPRODUCT((Diário!$E$4:$E$2662='Analítico Cx.'!$B90)*(Diário!$B$4:$B$2662&gt;=E$4)*(Diário!$B$4:$B$2662&lt;=EOMONTH(E$4,0))*(Diário!$F$4:$F$2662))</f>
        <v>1555.74</v>
      </c>
      <c r="F90" s="102">
        <f>SUMPRODUCT((Diário!$E$4:$E$2662='Analítico Cx.'!$B90)*(Diário!$B$4:$B$2662&gt;=F$4)*(Diário!$B$4:$B$2662&lt;=EOMONTH(F$4,0))*(Diário!$F$4:$F$2662))</f>
        <v>2918.16</v>
      </c>
      <c r="G90" s="102">
        <f>SUMPRODUCT((Diário!$E$4:$E$2662='Analítico Cx.'!$B90)*(Diário!$B$4:$B$2662&gt;=G$4)*(Diário!$B$4:$B$2662&lt;=EOMONTH(G$4,0))*(Diário!$F$4:$F$2662))</f>
        <v>197.37</v>
      </c>
      <c r="H90" s="102">
        <f>SUMPRODUCT((Diário!$E$4:$E$2662='Analítico Cx.'!$B90)*(Diário!$B$4:$B$2662&gt;=H$4)*(Diário!$B$4:$B$2662&lt;=EOMONTH(H$4,0))*(Diário!$F$4:$F$2662))</f>
        <v>0</v>
      </c>
      <c r="I90" s="102">
        <f>SUMPRODUCT((Diário!$E$4:$E$2662='Analítico Cx.'!$B90)*(Diário!$B$4:$B$2662&gt;=I$4)*(Diário!$B$4:$B$2662&lt;=EOMONTH(I$4,0))*(Diário!$F$4:$F$2662))</f>
        <v>0</v>
      </c>
      <c r="J90" s="102">
        <f>SUMPRODUCT((Diário!$E$4:$E$2662='Analítico Cx.'!$B90)*(Diário!$B$4:$B$2662&gt;=J$4)*(Diário!$B$4:$B$2662&lt;=EOMONTH(J$4,0))*(Diário!$F$4:$F$2662))</f>
        <v>0</v>
      </c>
      <c r="K90" s="102">
        <f>SUMPRODUCT((Diário!$E$4:$E$2662='Analítico Cx.'!$B90)*(Diário!$B$4:$B$2662&gt;=K$4)*(Diário!$B$4:$B$2662&lt;=EOMONTH(K$4,0))*(Diário!$F$4:$F$2662))</f>
        <v>0</v>
      </c>
      <c r="L90" s="102">
        <f>SUMPRODUCT((Diário!$E$4:$E$2662='Analítico Cx.'!$B90)*(Diário!$B$4:$B$2662&gt;=L$4)*(Diário!$B$4:$B$2662&lt;=EOMONTH(L$4,0))*(Diário!$F$4:$F$2662))</f>
        <v>0</v>
      </c>
      <c r="M90" s="102">
        <f>SUMPRODUCT((Diário!$E$4:$E$2662='Analítico Cx.'!$B90)*(Diário!$B$4:$B$2662&gt;=M$4)*(Diário!$B$4:$B$2662&lt;=EOMONTH(M$4,0))*(Diário!$F$4:$F$2662))</f>
        <v>0</v>
      </c>
      <c r="N90" s="102">
        <f>SUMPRODUCT((Diário!$E$4:$E$2662='Analítico Cx.'!$B90)*(Diário!$B$4:$B$2662&gt;=N$4)*(Diário!$B$4:$B$2662&lt;=EOMONTH(N$4,0))*(Diário!$F$4:$F$2662))</f>
        <v>0</v>
      </c>
      <c r="O90" s="103">
        <f t="shared" si="17"/>
        <v>4893.07</v>
      </c>
      <c r="P90" s="95">
        <f t="shared" si="16"/>
        <v>2.5266147794826039E-4</v>
      </c>
    </row>
    <row r="91" spans="1:16" ht="23.25" customHeight="1">
      <c r="A91" s="40" t="s">
        <v>140</v>
      </c>
      <c r="B91" s="60" t="s">
        <v>63</v>
      </c>
      <c r="C91" s="102">
        <f>SUMPRODUCT((Diário!$E$4:$E$2662='Analítico Cx.'!$B91)*(Diário!$B$4:$B$2662&gt;=C$4)*(Diário!$B$4:$B$2662&lt;=EOMONTH(C$4,0))*(Diário!$F$4:$F$2662))</f>
        <v>0</v>
      </c>
      <c r="D91" s="102">
        <f>SUMPRODUCT((Diário!$E$4:$E$2662='Analítico Cx.'!$B91)*(Diário!$B$4:$B$2662&gt;=D$4)*(Diário!$B$4:$B$2662&lt;=EOMONTH(D$4,0))*(Diário!$F$4:$F$2662))</f>
        <v>0</v>
      </c>
      <c r="E91" s="102">
        <f>SUMPRODUCT((Diário!$E$4:$E$2662='Analítico Cx.'!$B91)*(Diário!$B$4:$B$2662&gt;=E$4)*(Diário!$B$4:$B$2662&lt;=EOMONTH(E$4,0))*(Diário!$F$4:$F$2662))</f>
        <v>0</v>
      </c>
      <c r="F91" s="102">
        <f>SUMPRODUCT((Diário!$E$4:$E$2662='Analítico Cx.'!$B91)*(Diário!$B$4:$B$2662&gt;=F$4)*(Diário!$B$4:$B$2662&lt;=EOMONTH(F$4,0))*(Diário!$F$4:$F$2662))</f>
        <v>0</v>
      </c>
      <c r="G91" s="102">
        <f>SUMPRODUCT((Diário!$E$4:$E$2662='Analítico Cx.'!$B91)*(Diário!$B$4:$B$2662&gt;=G$4)*(Diário!$B$4:$B$2662&lt;=EOMONTH(G$4,0))*(Diário!$F$4:$F$2662))</f>
        <v>0</v>
      </c>
      <c r="H91" s="102">
        <f>SUMPRODUCT((Diário!$E$4:$E$2662='Analítico Cx.'!$B91)*(Diário!$B$4:$B$2662&gt;=H$4)*(Diário!$B$4:$B$2662&lt;=EOMONTH(H$4,0))*(Diário!$F$4:$F$2662))</f>
        <v>0</v>
      </c>
      <c r="I91" s="102">
        <f>SUMPRODUCT((Diário!$E$4:$E$2662='Analítico Cx.'!$B91)*(Diário!$B$4:$B$2662&gt;=I$4)*(Diário!$B$4:$B$2662&lt;=EOMONTH(I$4,0))*(Diário!$F$4:$F$2662))</f>
        <v>0</v>
      </c>
      <c r="J91" s="102">
        <f>SUMPRODUCT((Diário!$E$4:$E$2662='Analítico Cx.'!$B91)*(Diário!$B$4:$B$2662&gt;=J$4)*(Diário!$B$4:$B$2662&lt;=EOMONTH(J$4,0))*(Diário!$F$4:$F$2662))</f>
        <v>0</v>
      </c>
      <c r="K91" s="102">
        <f>SUMPRODUCT((Diário!$E$4:$E$2662='Analítico Cx.'!$B91)*(Diário!$B$4:$B$2662&gt;=K$4)*(Diário!$B$4:$B$2662&lt;=EOMONTH(K$4,0))*(Diário!$F$4:$F$2662))</f>
        <v>0</v>
      </c>
      <c r="L91" s="102">
        <f>SUMPRODUCT((Diário!$E$4:$E$2662='Analítico Cx.'!$B91)*(Diário!$B$4:$B$2662&gt;=L$4)*(Diário!$B$4:$B$2662&lt;=EOMONTH(L$4,0))*(Diário!$F$4:$F$2662))</f>
        <v>0</v>
      </c>
      <c r="M91" s="102">
        <f>SUMPRODUCT((Diário!$E$4:$E$2662='Analítico Cx.'!$B91)*(Diário!$B$4:$B$2662&gt;=M$4)*(Diário!$B$4:$B$2662&lt;=EOMONTH(M$4,0))*(Diário!$F$4:$F$2662))</f>
        <v>0</v>
      </c>
      <c r="N91" s="102">
        <f>SUMPRODUCT((Diário!$E$4:$E$2662='Analítico Cx.'!$B91)*(Diário!$B$4:$B$2662&gt;=N$4)*(Diário!$B$4:$B$2662&lt;=EOMONTH(N$4,0))*(Diário!$F$4:$F$2662))</f>
        <v>0</v>
      </c>
      <c r="O91" s="103">
        <f t="shared" si="17"/>
        <v>0</v>
      </c>
      <c r="P91" s="95">
        <f t="shared" ref="P91:P115" si="18">IF($O$191=0,0,O91/$O$191)</f>
        <v>0</v>
      </c>
    </row>
    <row r="92" spans="1:16" ht="23.25" customHeight="1">
      <c r="A92" s="40" t="s">
        <v>141</v>
      </c>
      <c r="B92" s="60" t="s">
        <v>61</v>
      </c>
      <c r="C92" s="102">
        <f>SUMPRODUCT((Diário!$E$4:$E$2662='Analítico Cx.'!$B92)*(Diário!$B$4:$B$2662&gt;=C$4)*(Diário!$B$4:$B$2662&lt;=EOMONTH(C$4,0))*(Diário!$F$4:$F$2662))</f>
        <v>100</v>
      </c>
      <c r="D92" s="102">
        <f>SUMPRODUCT((Diário!$E$4:$E$2662='Analítico Cx.'!$B92)*(Diário!$B$4:$B$2662&gt;=D$4)*(Diário!$B$4:$B$2662&lt;=EOMONTH(D$4,0))*(Diário!$F$4:$F$2662))</f>
        <v>0</v>
      </c>
      <c r="E92" s="102">
        <f>SUMPRODUCT((Diário!$E$4:$E$2662='Analítico Cx.'!$B92)*(Diário!$B$4:$B$2662&gt;=E$4)*(Diário!$B$4:$B$2662&lt;=EOMONTH(E$4,0))*(Diário!$F$4:$F$2662))</f>
        <v>0</v>
      </c>
      <c r="F92" s="102">
        <f>SUMPRODUCT((Diário!$E$4:$E$2662='Analítico Cx.'!$B92)*(Diário!$B$4:$B$2662&gt;=F$4)*(Diário!$B$4:$B$2662&lt;=EOMONTH(F$4,0))*(Diário!$F$4:$F$2662))</f>
        <v>3883.51</v>
      </c>
      <c r="G92" s="102">
        <f>SUMPRODUCT((Diário!$E$4:$E$2662='Analítico Cx.'!$B92)*(Diário!$B$4:$B$2662&gt;=G$4)*(Diário!$B$4:$B$2662&lt;=EOMONTH(G$4,0))*(Diário!$F$4:$F$2662))</f>
        <v>0</v>
      </c>
      <c r="H92" s="102">
        <f>SUMPRODUCT((Diário!$E$4:$E$2662='Analítico Cx.'!$B92)*(Diário!$B$4:$B$2662&gt;=H$4)*(Diário!$B$4:$B$2662&lt;=EOMONTH(H$4,0))*(Diário!$F$4:$F$2662))</f>
        <v>300</v>
      </c>
      <c r="I92" s="102">
        <f>SUMPRODUCT((Diário!$E$4:$E$2662='Analítico Cx.'!$B92)*(Diário!$B$4:$B$2662&gt;=I$4)*(Diário!$B$4:$B$2662&lt;=EOMONTH(I$4,0))*(Diário!$F$4:$F$2662))</f>
        <v>0</v>
      </c>
      <c r="J92" s="102">
        <f>SUMPRODUCT((Diário!$E$4:$E$2662='Analítico Cx.'!$B92)*(Diário!$B$4:$B$2662&gt;=J$4)*(Diário!$B$4:$B$2662&lt;=EOMONTH(J$4,0))*(Diário!$F$4:$F$2662))</f>
        <v>0</v>
      </c>
      <c r="K92" s="102">
        <f>SUMPRODUCT((Diário!$E$4:$E$2662='Analítico Cx.'!$B92)*(Diário!$B$4:$B$2662&gt;=K$4)*(Diário!$B$4:$B$2662&lt;=EOMONTH(K$4,0))*(Diário!$F$4:$F$2662))</f>
        <v>0</v>
      </c>
      <c r="L92" s="102">
        <f>SUMPRODUCT((Diário!$E$4:$E$2662='Analítico Cx.'!$B92)*(Diário!$B$4:$B$2662&gt;=L$4)*(Diário!$B$4:$B$2662&lt;=EOMONTH(L$4,0))*(Diário!$F$4:$F$2662))</f>
        <v>0</v>
      </c>
      <c r="M92" s="102">
        <f>SUMPRODUCT((Diário!$E$4:$E$2662='Analítico Cx.'!$B92)*(Diário!$B$4:$B$2662&gt;=M$4)*(Diário!$B$4:$B$2662&lt;=EOMONTH(M$4,0))*(Diário!$F$4:$F$2662))</f>
        <v>0</v>
      </c>
      <c r="N92" s="102">
        <f>SUMPRODUCT((Diário!$E$4:$E$2662='Analítico Cx.'!$B92)*(Diário!$B$4:$B$2662&gt;=N$4)*(Diário!$B$4:$B$2662&lt;=EOMONTH(N$4,0))*(Diário!$F$4:$F$2662))</f>
        <v>0</v>
      </c>
      <c r="O92" s="103">
        <f t="shared" si="17"/>
        <v>4283.51</v>
      </c>
      <c r="P92" s="95">
        <f t="shared" si="18"/>
        <v>2.2118587459532625E-4</v>
      </c>
    </row>
    <row r="93" spans="1:16" ht="23.25" customHeight="1">
      <c r="A93" s="40" t="s">
        <v>175</v>
      </c>
      <c r="B93" s="60" t="s">
        <v>60</v>
      </c>
      <c r="C93" s="102">
        <f>SUMPRODUCT((Diário!$E$4:$E$2662='Analítico Cx.'!$B93)*(Diário!$B$4:$B$2662&gt;=C$4)*(Diário!$B$4:$B$2662&lt;=EOMONTH(C$4,0))*(Diário!$F$4:$F$2662))</f>
        <v>0</v>
      </c>
      <c r="D93" s="102">
        <f>SUMPRODUCT((Diário!$E$4:$E$2662='Analítico Cx.'!$B93)*(Diário!$B$4:$B$2662&gt;=D$4)*(Diário!$B$4:$B$2662&lt;=EOMONTH(D$4,0))*(Diário!$F$4:$F$2662))</f>
        <v>0</v>
      </c>
      <c r="E93" s="102">
        <f>SUMPRODUCT((Diário!$E$4:$E$2662='Analítico Cx.'!$B93)*(Diário!$B$4:$B$2662&gt;=E$4)*(Diário!$B$4:$B$2662&lt;=EOMONTH(E$4,0))*(Diário!$F$4:$F$2662))</f>
        <v>0</v>
      </c>
      <c r="F93" s="102">
        <f>SUMPRODUCT((Diário!$E$4:$E$2662='Analítico Cx.'!$B93)*(Diário!$B$4:$B$2662&gt;=F$4)*(Diário!$B$4:$B$2662&lt;=EOMONTH(F$4,0))*(Diário!$F$4:$F$2662))</f>
        <v>0</v>
      </c>
      <c r="G93" s="102">
        <f>SUMPRODUCT((Diário!$E$4:$E$2662='Analítico Cx.'!$B93)*(Diário!$B$4:$B$2662&gt;=G$4)*(Diário!$B$4:$B$2662&lt;=EOMONTH(G$4,0))*(Diário!$F$4:$F$2662))</f>
        <v>268.51</v>
      </c>
      <c r="H93" s="102">
        <f>SUMPRODUCT((Diário!$E$4:$E$2662='Analítico Cx.'!$B93)*(Diário!$B$4:$B$2662&gt;=H$4)*(Diário!$B$4:$B$2662&lt;=EOMONTH(H$4,0))*(Diário!$F$4:$F$2662))</f>
        <v>0</v>
      </c>
      <c r="I93" s="102">
        <f>SUMPRODUCT((Diário!$E$4:$E$2662='Analítico Cx.'!$B93)*(Diário!$B$4:$B$2662&gt;=I$4)*(Diário!$B$4:$B$2662&lt;=EOMONTH(I$4,0))*(Diário!$F$4:$F$2662))</f>
        <v>0</v>
      </c>
      <c r="J93" s="102">
        <f>SUMPRODUCT((Diário!$E$4:$E$2662='Analítico Cx.'!$B93)*(Diário!$B$4:$B$2662&gt;=J$4)*(Diário!$B$4:$B$2662&lt;=EOMONTH(J$4,0))*(Diário!$F$4:$F$2662))</f>
        <v>0</v>
      </c>
      <c r="K93" s="102">
        <f>SUMPRODUCT((Diário!$E$4:$E$2662='Analítico Cx.'!$B93)*(Diário!$B$4:$B$2662&gt;=K$4)*(Diário!$B$4:$B$2662&lt;=EOMONTH(K$4,0))*(Diário!$F$4:$F$2662))</f>
        <v>0</v>
      </c>
      <c r="L93" s="102">
        <f>SUMPRODUCT((Diário!$E$4:$E$2662='Analítico Cx.'!$B93)*(Diário!$B$4:$B$2662&gt;=L$4)*(Diário!$B$4:$B$2662&lt;=EOMONTH(L$4,0))*(Diário!$F$4:$F$2662))</f>
        <v>0</v>
      </c>
      <c r="M93" s="102">
        <f>SUMPRODUCT((Diário!$E$4:$E$2662='Analítico Cx.'!$B93)*(Diário!$B$4:$B$2662&gt;=M$4)*(Diário!$B$4:$B$2662&lt;=EOMONTH(M$4,0))*(Diário!$F$4:$F$2662))</f>
        <v>0</v>
      </c>
      <c r="N93" s="102">
        <f>SUMPRODUCT((Diário!$E$4:$E$2662='Analítico Cx.'!$B93)*(Diário!$B$4:$B$2662&gt;=N$4)*(Diário!$B$4:$B$2662&lt;=EOMONTH(N$4,0))*(Diário!$F$4:$F$2662))</f>
        <v>0</v>
      </c>
      <c r="O93" s="103">
        <f t="shared" si="17"/>
        <v>268.51</v>
      </c>
      <c r="P93" s="95">
        <f t="shared" si="18"/>
        <v>1.3864942345784426E-5</v>
      </c>
    </row>
    <row r="94" spans="1:16" ht="23.25" customHeight="1">
      <c r="A94" s="40" t="s">
        <v>176</v>
      </c>
      <c r="B94" s="60" t="s">
        <v>62</v>
      </c>
      <c r="C94" s="102">
        <f>SUMPRODUCT((Diário!$E$4:$E$2662='Analítico Cx.'!$B94)*(Diário!$B$4:$B$2662&gt;=C$4)*(Diário!$B$4:$B$2662&lt;=EOMONTH(C$4,0))*(Diário!$F$4:$F$2662))</f>
        <v>0</v>
      </c>
      <c r="D94" s="102">
        <f>SUMPRODUCT((Diário!$E$4:$E$2662='Analítico Cx.'!$B94)*(Diário!$B$4:$B$2662&gt;=D$4)*(Diário!$B$4:$B$2662&lt;=EOMONTH(D$4,0))*(Diário!$F$4:$F$2662))</f>
        <v>0</v>
      </c>
      <c r="E94" s="102">
        <f>SUMPRODUCT((Diário!$E$4:$E$2662='Analítico Cx.'!$B94)*(Diário!$B$4:$B$2662&gt;=E$4)*(Diário!$B$4:$B$2662&lt;=EOMONTH(E$4,0))*(Diário!$F$4:$F$2662))</f>
        <v>0</v>
      </c>
      <c r="F94" s="102">
        <f>SUMPRODUCT((Diário!$E$4:$E$2662='Analítico Cx.'!$B94)*(Diário!$B$4:$B$2662&gt;=F$4)*(Diário!$B$4:$B$2662&lt;=EOMONTH(F$4,0))*(Diário!$F$4:$F$2662))</f>
        <v>0</v>
      </c>
      <c r="G94" s="102">
        <f>SUMPRODUCT((Diário!$E$4:$E$2662='Analítico Cx.'!$B94)*(Diário!$B$4:$B$2662&gt;=G$4)*(Diário!$B$4:$B$2662&lt;=EOMONTH(G$4,0))*(Diário!$F$4:$F$2662))</f>
        <v>0</v>
      </c>
      <c r="H94" s="102">
        <f>SUMPRODUCT((Diário!$E$4:$E$2662='Analítico Cx.'!$B94)*(Diário!$B$4:$B$2662&gt;=H$4)*(Diário!$B$4:$B$2662&lt;=EOMONTH(H$4,0))*(Diário!$F$4:$F$2662))</f>
        <v>0</v>
      </c>
      <c r="I94" s="102">
        <f>SUMPRODUCT((Diário!$E$4:$E$2662='Analítico Cx.'!$B94)*(Diário!$B$4:$B$2662&gt;=I$4)*(Diário!$B$4:$B$2662&lt;=EOMONTH(I$4,0))*(Diário!$F$4:$F$2662))</f>
        <v>0</v>
      </c>
      <c r="J94" s="102">
        <f>SUMPRODUCT((Diário!$E$4:$E$2662='Analítico Cx.'!$B94)*(Diário!$B$4:$B$2662&gt;=J$4)*(Diário!$B$4:$B$2662&lt;=EOMONTH(J$4,0))*(Diário!$F$4:$F$2662))</f>
        <v>0</v>
      </c>
      <c r="K94" s="102">
        <f>SUMPRODUCT((Diário!$E$4:$E$2662='Analítico Cx.'!$B94)*(Diário!$B$4:$B$2662&gt;=K$4)*(Diário!$B$4:$B$2662&lt;=EOMONTH(K$4,0))*(Diário!$F$4:$F$2662))</f>
        <v>0</v>
      </c>
      <c r="L94" s="102">
        <f>SUMPRODUCT((Diário!$E$4:$E$2662='Analítico Cx.'!$B94)*(Diário!$B$4:$B$2662&gt;=L$4)*(Diário!$B$4:$B$2662&lt;=EOMONTH(L$4,0))*(Diário!$F$4:$F$2662))</f>
        <v>0</v>
      </c>
      <c r="M94" s="102">
        <f>SUMPRODUCT((Diário!$E$4:$E$2662='Analítico Cx.'!$B94)*(Diário!$B$4:$B$2662&gt;=M$4)*(Diário!$B$4:$B$2662&lt;=EOMONTH(M$4,0))*(Diário!$F$4:$F$2662))</f>
        <v>0</v>
      </c>
      <c r="N94" s="102">
        <f>SUMPRODUCT((Diário!$E$4:$E$2662='Analítico Cx.'!$B94)*(Diário!$B$4:$B$2662&gt;=N$4)*(Diário!$B$4:$B$2662&lt;=EOMONTH(N$4,0))*(Diário!$F$4:$F$2662))</f>
        <v>0</v>
      </c>
      <c r="O94" s="103">
        <f t="shared" si="17"/>
        <v>0</v>
      </c>
      <c r="P94" s="95">
        <f t="shared" si="18"/>
        <v>0</v>
      </c>
    </row>
    <row r="95" spans="1:16" ht="23.25" customHeight="1">
      <c r="A95" s="40" t="s">
        <v>177</v>
      </c>
      <c r="B95" s="60" t="s">
        <v>129</v>
      </c>
      <c r="C95" s="102">
        <f>SUMPRODUCT((Diário!$E$4:$E$2662='Analítico Cx.'!$B95)*(Diário!$B$4:$B$2662&gt;=C$4)*(Diário!$B$4:$B$2662&lt;=EOMONTH(C$4,0))*(Diário!$F$4:$F$2662))</f>
        <v>0</v>
      </c>
      <c r="D95" s="102">
        <f>SUMPRODUCT((Diário!$E$4:$E$2662='Analítico Cx.'!$B95)*(Diário!$B$4:$B$2662&gt;=D$4)*(Diário!$B$4:$B$2662&lt;=EOMONTH(D$4,0))*(Diário!$F$4:$F$2662))</f>
        <v>0</v>
      </c>
      <c r="E95" s="102">
        <f>SUMPRODUCT((Diário!$E$4:$E$2662='Analítico Cx.'!$B95)*(Diário!$B$4:$B$2662&gt;=E$4)*(Diário!$B$4:$B$2662&lt;=EOMONTH(E$4,0))*(Diário!$F$4:$F$2662))</f>
        <v>0</v>
      </c>
      <c r="F95" s="102">
        <f>SUMPRODUCT((Diário!$E$4:$E$2662='Analítico Cx.'!$B95)*(Diário!$B$4:$B$2662&gt;=F$4)*(Diário!$B$4:$B$2662&lt;=EOMONTH(F$4,0))*(Diário!$F$4:$F$2662))</f>
        <v>0</v>
      </c>
      <c r="G95" s="102">
        <f>SUMPRODUCT((Diário!$E$4:$E$2662='Analítico Cx.'!$B95)*(Diário!$B$4:$B$2662&gt;=G$4)*(Diário!$B$4:$B$2662&lt;=EOMONTH(G$4,0))*(Diário!$F$4:$F$2662))</f>
        <v>0</v>
      </c>
      <c r="H95" s="102">
        <f>SUMPRODUCT((Diário!$E$4:$E$2662='Analítico Cx.'!$B95)*(Diário!$B$4:$B$2662&gt;=H$4)*(Diário!$B$4:$B$2662&lt;=EOMONTH(H$4,0))*(Diário!$F$4:$F$2662))</f>
        <v>0</v>
      </c>
      <c r="I95" s="102">
        <f>SUMPRODUCT((Diário!$E$4:$E$2662='Analítico Cx.'!$B95)*(Diário!$B$4:$B$2662&gt;=I$4)*(Diário!$B$4:$B$2662&lt;=EOMONTH(I$4,0))*(Diário!$F$4:$F$2662))</f>
        <v>0</v>
      </c>
      <c r="J95" s="102">
        <f>SUMPRODUCT((Diário!$E$4:$E$2662='Analítico Cx.'!$B95)*(Diário!$B$4:$B$2662&gt;=J$4)*(Diário!$B$4:$B$2662&lt;=EOMONTH(J$4,0))*(Diário!$F$4:$F$2662))</f>
        <v>0</v>
      </c>
      <c r="K95" s="102">
        <f>SUMPRODUCT((Diário!$E$4:$E$2662='Analítico Cx.'!$B95)*(Diário!$B$4:$B$2662&gt;=K$4)*(Diário!$B$4:$B$2662&lt;=EOMONTH(K$4,0))*(Diário!$F$4:$F$2662))</f>
        <v>0</v>
      </c>
      <c r="L95" s="102">
        <f>SUMPRODUCT((Diário!$E$4:$E$2662='Analítico Cx.'!$B95)*(Diário!$B$4:$B$2662&gt;=L$4)*(Diário!$B$4:$B$2662&lt;=EOMONTH(L$4,0))*(Diário!$F$4:$F$2662))</f>
        <v>0</v>
      </c>
      <c r="M95" s="102">
        <f>SUMPRODUCT((Diário!$E$4:$E$2662='Analítico Cx.'!$B95)*(Diário!$B$4:$B$2662&gt;=M$4)*(Diário!$B$4:$B$2662&lt;=EOMONTH(M$4,0))*(Diário!$F$4:$F$2662))</f>
        <v>0</v>
      </c>
      <c r="N95" s="102">
        <f>SUMPRODUCT((Diário!$E$4:$E$2662='Analítico Cx.'!$B95)*(Diário!$B$4:$B$2662&gt;=N$4)*(Diário!$B$4:$B$2662&lt;=EOMONTH(N$4,0))*(Diário!$F$4:$F$2662))</f>
        <v>0</v>
      </c>
      <c r="O95" s="103">
        <f t="shared" si="17"/>
        <v>0</v>
      </c>
      <c r="P95" s="95">
        <f t="shared" si="18"/>
        <v>0</v>
      </c>
    </row>
    <row r="96" spans="1:16" ht="23.25" customHeight="1">
      <c r="A96" s="40" t="s">
        <v>178</v>
      </c>
      <c r="B96" s="60" t="s">
        <v>127</v>
      </c>
      <c r="C96" s="102">
        <f>SUMPRODUCT((Diário!$E$4:$E$2662='Analítico Cx.'!$B96)*(Diário!$B$4:$B$2662&gt;=C$4)*(Diário!$B$4:$B$2662&lt;=EOMONTH(C$4,0))*(Diário!$F$4:$F$2662))</f>
        <v>0</v>
      </c>
      <c r="D96" s="102">
        <f>SUMPRODUCT((Diário!$E$4:$E$2662='Analítico Cx.'!$B96)*(Diário!$B$4:$B$2662&gt;=D$4)*(Diário!$B$4:$B$2662&lt;=EOMONTH(D$4,0))*(Diário!$F$4:$F$2662))</f>
        <v>0</v>
      </c>
      <c r="E96" s="102">
        <f>SUMPRODUCT((Diário!$E$4:$E$2662='Analítico Cx.'!$B96)*(Diário!$B$4:$B$2662&gt;=E$4)*(Diário!$B$4:$B$2662&lt;=EOMONTH(E$4,0))*(Diário!$F$4:$F$2662))</f>
        <v>0</v>
      </c>
      <c r="F96" s="102">
        <f>SUMPRODUCT((Diário!$E$4:$E$2662='Analítico Cx.'!$B96)*(Diário!$B$4:$B$2662&gt;=F$4)*(Diário!$B$4:$B$2662&lt;=EOMONTH(F$4,0))*(Diário!$F$4:$F$2662))</f>
        <v>0</v>
      </c>
      <c r="G96" s="102">
        <f>SUMPRODUCT((Diário!$E$4:$E$2662='Analítico Cx.'!$B96)*(Diário!$B$4:$B$2662&gt;=G$4)*(Diário!$B$4:$B$2662&lt;=EOMONTH(G$4,0))*(Diário!$F$4:$F$2662))</f>
        <v>0</v>
      </c>
      <c r="H96" s="102">
        <f>SUMPRODUCT((Diário!$E$4:$E$2662='Analítico Cx.'!$B96)*(Diário!$B$4:$B$2662&gt;=H$4)*(Diário!$B$4:$B$2662&lt;=EOMONTH(H$4,0))*(Diário!$F$4:$F$2662))</f>
        <v>0</v>
      </c>
      <c r="I96" s="102">
        <f>SUMPRODUCT((Diário!$E$4:$E$2662='Analítico Cx.'!$B96)*(Diário!$B$4:$B$2662&gt;=I$4)*(Diário!$B$4:$B$2662&lt;=EOMONTH(I$4,0))*(Diário!$F$4:$F$2662))</f>
        <v>0</v>
      </c>
      <c r="J96" s="102">
        <f>SUMPRODUCT((Diário!$E$4:$E$2662='Analítico Cx.'!$B96)*(Diário!$B$4:$B$2662&gt;=J$4)*(Diário!$B$4:$B$2662&lt;=EOMONTH(J$4,0))*(Diário!$F$4:$F$2662))</f>
        <v>0</v>
      </c>
      <c r="K96" s="102">
        <f>SUMPRODUCT((Diário!$E$4:$E$2662='Analítico Cx.'!$B96)*(Diário!$B$4:$B$2662&gt;=K$4)*(Diário!$B$4:$B$2662&lt;=EOMONTH(K$4,0))*(Diário!$F$4:$F$2662))</f>
        <v>0</v>
      </c>
      <c r="L96" s="102">
        <f>SUMPRODUCT((Diário!$E$4:$E$2662='Analítico Cx.'!$B96)*(Diário!$B$4:$B$2662&gt;=L$4)*(Diário!$B$4:$B$2662&lt;=EOMONTH(L$4,0))*(Diário!$F$4:$F$2662))</f>
        <v>0</v>
      </c>
      <c r="M96" s="102">
        <f>SUMPRODUCT((Diário!$E$4:$E$2662='Analítico Cx.'!$B96)*(Diário!$B$4:$B$2662&gt;=M$4)*(Diário!$B$4:$B$2662&lt;=EOMONTH(M$4,0))*(Diário!$F$4:$F$2662))</f>
        <v>0</v>
      </c>
      <c r="N96" s="102">
        <f>SUMPRODUCT((Diário!$E$4:$E$2662='Analítico Cx.'!$B96)*(Diário!$B$4:$B$2662&gt;=N$4)*(Diário!$B$4:$B$2662&lt;=EOMONTH(N$4,0))*(Diário!$F$4:$F$2662))</f>
        <v>0</v>
      </c>
      <c r="O96" s="103">
        <f t="shared" si="17"/>
        <v>0</v>
      </c>
      <c r="P96" s="95">
        <f t="shared" si="18"/>
        <v>0</v>
      </c>
    </row>
    <row r="97" spans="1:16" ht="23.25" customHeight="1">
      <c r="A97" s="40" t="s">
        <v>179</v>
      </c>
      <c r="B97" s="60" t="s">
        <v>55</v>
      </c>
      <c r="C97" s="102">
        <f>SUMPRODUCT((Diário!$E$4:$E$2662='Analítico Cx.'!$B97)*(Diário!$B$4:$B$2662&gt;=C$4)*(Diário!$B$4:$B$2662&lt;=EOMONTH(C$4,0))*(Diário!$F$4:$F$2662))</f>
        <v>0</v>
      </c>
      <c r="D97" s="102">
        <f>SUMPRODUCT((Diário!$E$4:$E$2662='Analítico Cx.'!$B97)*(Diário!$B$4:$B$2662&gt;=D$4)*(Diário!$B$4:$B$2662&lt;=EOMONTH(D$4,0))*(Diário!$F$4:$F$2662))</f>
        <v>0</v>
      </c>
      <c r="E97" s="102">
        <f>SUMPRODUCT((Diário!$E$4:$E$2662='Analítico Cx.'!$B97)*(Diário!$B$4:$B$2662&gt;=E$4)*(Diário!$B$4:$B$2662&lt;=EOMONTH(E$4,0))*(Diário!$F$4:$F$2662))</f>
        <v>0</v>
      </c>
      <c r="F97" s="102">
        <f>SUMPRODUCT((Diário!$E$4:$E$2662='Analítico Cx.'!$B97)*(Diário!$B$4:$B$2662&gt;=F$4)*(Diário!$B$4:$B$2662&lt;=EOMONTH(F$4,0))*(Diário!$F$4:$F$2662))</f>
        <v>0</v>
      </c>
      <c r="G97" s="102">
        <f>SUMPRODUCT((Diário!$E$4:$E$2662='Analítico Cx.'!$B97)*(Diário!$B$4:$B$2662&gt;=G$4)*(Diário!$B$4:$B$2662&lt;=EOMONTH(G$4,0))*(Diário!$F$4:$F$2662))</f>
        <v>0</v>
      </c>
      <c r="H97" s="102">
        <f>SUMPRODUCT((Diário!$E$4:$E$2662='Analítico Cx.'!$B97)*(Diário!$B$4:$B$2662&gt;=H$4)*(Diário!$B$4:$B$2662&lt;=EOMONTH(H$4,0))*(Diário!$F$4:$F$2662))</f>
        <v>0</v>
      </c>
      <c r="I97" s="102">
        <f>SUMPRODUCT((Diário!$E$4:$E$2662='Analítico Cx.'!$B97)*(Diário!$B$4:$B$2662&gt;=I$4)*(Diário!$B$4:$B$2662&lt;=EOMONTH(I$4,0))*(Diário!$F$4:$F$2662))</f>
        <v>0</v>
      </c>
      <c r="J97" s="102">
        <f>SUMPRODUCT((Diário!$E$4:$E$2662='Analítico Cx.'!$B97)*(Diário!$B$4:$B$2662&gt;=J$4)*(Diário!$B$4:$B$2662&lt;=EOMONTH(J$4,0))*(Diário!$F$4:$F$2662))</f>
        <v>0</v>
      </c>
      <c r="K97" s="102">
        <f>SUMPRODUCT((Diário!$E$4:$E$2662='Analítico Cx.'!$B97)*(Diário!$B$4:$B$2662&gt;=K$4)*(Diário!$B$4:$B$2662&lt;=EOMONTH(K$4,0))*(Diário!$F$4:$F$2662))</f>
        <v>0</v>
      </c>
      <c r="L97" s="102">
        <f>SUMPRODUCT((Diário!$E$4:$E$2662='Analítico Cx.'!$B97)*(Diário!$B$4:$B$2662&gt;=L$4)*(Diário!$B$4:$B$2662&lt;=EOMONTH(L$4,0))*(Diário!$F$4:$F$2662))</f>
        <v>0</v>
      </c>
      <c r="M97" s="102">
        <f>SUMPRODUCT((Diário!$E$4:$E$2662='Analítico Cx.'!$B97)*(Diário!$B$4:$B$2662&gt;=M$4)*(Diário!$B$4:$B$2662&lt;=EOMONTH(M$4,0))*(Diário!$F$4:$F$2662))</f>
        <v>0</v>
      </c>
      <c r="N97" s="102">
        <f>SUMPRODUCT((Diário!$E$4:$E$2662='Analítico Cx.'!$B97)*(Diário!$B$4:$B$2662&gt;=N$4)*(Diário!$B$4:$B$2662&lt;=EOMONTH(N$4,0))*(Diário!$F$4:$F$2662))</f>
        <v>0</v>
      </c>
      <c r="O97" s="103">
        <f t="shared" si="17"/>
        <v>0</v>
      </c>
      <c r="P97" s="95">
        <f t="shared" si="18"/>
        <v>0</v>
      </c>
    </row>
    <row r="98" spans="1:16" ht="23.25" customHeight="1">
      <c r="A98" s="40" t="s">
        <v>180</v>
      </c>
      <c r="B98" s="60" t="s">
        <v>76</v>
      </c>
      <c r="C98" s="102">
        <f>SUMPRODUCT((Diário!$E$4:$E$2662='Analítico Cx.'!$B98)*(Diário!$B$4:$B$2662&gt;=C$4)*(Diário!$B$4:$B$2662&lt;=EOMONTH(C$4,0))*(Diário!$F$4:$F$2662))</f>
        <v>0</v>
      </c>
      <c r="D98" s="102">
        <f>SUMPRODUCT((Diário!$E$4:$E$2662='Analítico Cx.'!$B98)*(Diário!$B$4:$B$2662&gt;=D$4)*(Diário!$B$4:$B$2662&lt;=EOMONTH(D$4,0))*(Diário!$F$4:$F$2662))</f>
        <v>0</v>
      </c>
      <c r="E98" s="102">
        <f>SUMPRODUCT((Diário!$E$4:$E$2662='Analítico Cx.'!$B98)*(Diário!$B$4:$B$2662&gt;=E$4)*(Diário!$B$4:$B$2662&lt;=EOMONTH(E$4,0))*(Diário!$F$4:$F$2662))</f>
        <v>0</v>
      </c>
      <c r="F98" s="102">
        <f>SUMPRODUCT((Diário!$E$4:$E$2662='Analítico Cx.'!$B98)*(Diário!$B$4:$B$2662&gt;=F$4)*(Diário!$B$4:$B$2662&lt;=EOMONTH(F$4,0))*(Diário!$F$4:$F$2662))</f>
        <v>0</v>
      </c>
      <c r="G98" s="102">
        <f>SUMPRODUCT((Diário!$E$4:$E$2662='Analítico Cx.'!$B98)*(Diário!$B$4:$B$2662&gt;=G$4)*(Diário!$B$4:$B$2662&lt;=EOMONTH(G$4,0))*(Diário!$F$4:$F$2662))</f>
        <v>0</v>
      </c>
      <c r="H98" s="102">
        <f>SUMPRODUCT((Diário!$E$4:$E$2662='Analítico Cx.'!$B98)*(Diário!$B$4:$B$2662&gt;=H$4)*(Diário!$B$4:$B$2662&lt;=EOMONTH(H$4,0))*(Diário!$F$4:$F$2662))</f>
        <v>0</v>
      </c>
      <c r="I98" s="102">
        <f>SUMPRODUCT((Diário!$E$4:$E$2662='Analítico Cx.'!$B98)*(Diário!$B$4:$B$2662&gt;=I$4)*(Diário!$B$4:$B$2662&lt;=EOMONTH(I$4,0))*(Diário!$F$4:$F$2662))</f>
        <v>0</v>
      </c>
      <c r="J98" s="102">
        <f>SUMPRODUCT((Diário!$E$4:$E$2662='Analítico Cx.'!$B98)*(Diário!$B$4:$B$2662&gt;=J$4)*(Diário!$B$4:$B$2662&lt;=EOMONTH(J$4,0))*(Diário!$F$4:$F$2662))</f>
        <v>0</v>
      </c>
      <c r="K98" s="102">
        <f>SUMPRODUCT((Diário!$E$4:$E$2662='Analítico Cx.'!$B98)*(Diário!$B$4:$B$2662&gt;=K$4)*(Diário!$B$4:$B$2662&lt;=EOMONTH(K$4,0))*(Diário!$F$4:$F$2662))</f>
        <v>0</v>
      </c>
      <c r="L98" s="102">
        <f>SUMPRODUCT((Diário!$E$4:$E$2662='Analítico Cx.'!$B98)*(Diário!$B$4:$B$2662&gt;=L$4)*(Diário!$B$4:$B$2662&lt;=EOMONTH(L$4,0))*(Diário!$F$4:$F$2662))</f>
        <v>0</v>
      </c>
      <c r="M98" s="102">
        <f>SUMPRODUCT((Diário!$E$4:$E$2662='Analítico Cx.'!$B98)*(Diário!$B$4:$B$2662&gt;=M$4)*(Diário!$B$4:$B$2662&lt;=EOMONTH(M$4,0))*(Diário!$F$4:$F$2662))</f>
        <v>0</v>
      </c>
      <c r="N98" s="102">
        <f>SUMPRODUCT((Diário!$E$4:$E$2662='Analítico Cx.'!$B98)*(Diário!$B$4:$B$2662&gt;=N$4)*(Diário!$B$4:$B$2662&lt;=EOMONTH(N$4,0))*(Diário!$F$4:$F$2662))</f>
        <v>0</v>
      </c>
      <c r="O98" s="103">
        <f t="shared" si="17"/>
        <v>0</v>
      </c>
      <c r="P98" s="95">
        <f t="shared" si="18"/>
        <v>0</v>
      </c>
    </row>
    <row r="99" spans="1:16" ht="23.25" customHeight="1">
      <c r="A99" s="40" t="s">
        <v>181</v>
      </c>
      <c r="B99" s="60" t="s">
        <v>236</v>
      </c>
      <c r="C99" s="102">
        <f>SUMPRODUCT((Diário!$E$4:$E$2662='Analítico Cx.'!$B99)*(Diário!$B$4:$B$2662&gt;=C$4)*(Diário!$B$4:$B$2662&lt;=EOMONTH(C$4,0))*(Diário!$F$4:$F$2662))</f>
        <v>0</v>
      </c>
      <c r="D99" s="102">
        <f>SUMPRODUCT((Diário!$E$4:$E$2662='Analítico Cx.'!$B99)*(Diário!$B$4:$B$2662&gt;=D$4)*(Diário!$B$4:$B$2662&lt;=EOMONTH(D$4,0))*(Diário!$F$4:$F$2662))</f>
        <v>0</v>
      </c>
      <c r="E99" s="102">
        <f>SUMPRODUCT((Diário!$E$4:$E$2662='Analítico Cx.'!$B99)*(Diário!$B$4:$B$2662&gt;=E$4)*(Diário!$B$4:$B$2662&lt;=EOMONTH(E$4,0))*(Diário!$F$4:$F$2662))</f>
        <v>0</v>
      </c>
      <c r="F99" s="102">
        <f>SUMPRODUCT((Diário!$E$4:$E$2662='Analítico Cx.'!$B99)*(Diário!$B$4:$B$2662&gt;=F$4)*(Diário!$B$4:$B$2662&lt;=EOMONTH(F$4,0))*(Diário!$F$4:$F$2662))</f>
        <v>0</v>
      </c>
      <c r="G99" s="102">
        <f>SUMPRODUCT((Diário!$E$4:$E$2662='Analítico Cx.'!$B99)*(Diário!$B$4:$B$2662&gt;=G$4)*(Diário!$B$4:$B$2662&lt;=EOMONTH(G$4,0))*(Diário!$F$4:$F$2662))</f>
        <v>0</v>
      </c>
      <c r="H99" s="102">
        <f>SUMPRODUCT((Diário!$E$4:$E$2662='Analítico Cx.'!$B99)*(Diário!$B$4:$B$2662&gt;=H$4)*(Diário!$B$4:$B$2662&lt;=EOMONTH(H$4,0))*(Diário!$F$4:$F$2662))</f>
        <v>0</v>
      </c>
      <c r="I99" s="102">
        <f>SUMPRODUCT((Diário!$E$4:$E$2662='Analítico Cx.'!$B99)*(Diário!$B$4:$B$2662&gt;=I$4)*(Diário!$B$4:$B$2662&lt;=EOMONTH(I$4,0))*(Diário!$F$4:$F$2662))</f>
        <v>0</v>
      </c>
      <c r="J99" s="102">
        <f>SUMPRODUCT((Diário!$E$4:$E$2662='Analítico Cx.'!$B99)*(Diário!$B$4:$B$2662&gt;=J$4)*(Diário!$B$4:$B$2662&lt;=EOMONTH(J$4,0))*(Diário!$F$4:$F$2662))</f>
        <v>0</v>
      </c>
      <c r="K99" s="102">
        <f>SUMPRODUCT((Diário!$E$4:$E$2662='Analítico Cx.'!$B99)*(Diário!$B$4:$B$2662&gt;=K$4)*(Diário!$B$4:$B$2662&lt;=EOMONTH(K$4,0))*(Diário!$F$4:$F$2662))</f>
        <v>0</v>
      </c>
      <c r="L99" s="102">
        <f>SUMPRODUCT((Diário!$E$4:$E$2662='Analítico Cx.'!$B99)*(Diário!$B$4:$B$2662&gt;=L$4)*(Diário!$B$4:$B$2662&lt;=EOMONTH(L$4,0))*(Diário!$F$4:$F$2662))</f>
        <v>0</v>
      </c>
      <c r="M99" s="102">
        <f>SUMPRODUCT((Diário!$E$4:$E$2662='Analítico Cx.'!$B99)*(Diário!$B$4:$B$2662&gt;=M$4)*(Diário!$B$4:$B$2662&lt;=EOMONTH(M$4,0))*(Diário!$F$4:$F$2662))</f>
        <v>0</v>
      </c>
      <c r="N99" s="102">
        <f>SUMPRODUCT((Diário!$E$4:$E$2662='Analítico Cx.'!$B99)*(Diário!$B$4:$B$2662&gt;=N$4)*(Diário!$B$4:$B$2662&lt;=EOMONTH(N$4,0))*(Diário!$F$4:$F$2662))</f>
        <v>0</v>
      </c>
      <c r="O99" s="103">
        <f t="shared" si="17"/>
        <v>0</v>
      </c>
      <c r="P99" s="95">
        <f t="shared" si="18"/>
        <v>0</v>
      </c>
    </row>
    <row r="100" spans="1:16" ht="23.25" customHeight="1">
      <c r="A100" s="40" t="s">
        <v>182</v>
      </c>
      <c r="B100" s="60" t="s">
        <v>0</v>
      </c>
      <c r="C100" s="102">
        <f>SUMPRODUCT((Diário!$E$4:$E$2662='Analítico Cx.'!$B100)*(Diário!$B$4:$B$2662&gt;=C$4)*(Diário!$B$4:$B$2662&lt;=EOMONTH(C$4,0))*(Diário!$F$4:$F$2662))</f>
        <v>746.04</v>
      </c>
      <c r="D100" s="102">
        <f>SUMPRODUCT((Diário!$E$4:$E$2662='Analítico Cx.'!$B100)*(Diário!$B$4:$B$2662&gt;=D$4)*(Diário!$B$4:$B$2662&lt;=EOMONTH(D$4,0))*(Diário!$F$4:$F$2662))</f>
        <v>2217.3000000000002</v>
      </c>
      <c r="E100" s="102">
        <f>SUMPRODUCT((Diário!$E$4:$E$2662='Analítico Cx.'!$B100)*(Diário!$B$4:$B$2662&gt;=E$4)*(Diário!$B$4:$B$2662&lt;=EOMONTH(E$4,0))*(Diário!$F$4:$F$2662))</f>
        <v>1072.6699999999998</v>
      </c>
      <c r="F100" s="102">
        <f>SUMPRODUCT((Diário!$E$4:$E$2662='Analítico Cx.'!$B100)*(Diário!$B$4:$B$2662&gt;=F$4)*(Diário!$B$4:$B$2662&lt;=EOMONTH(F$4,0))*(Diário!$F$4:$F$2662))</f>
        <v>2522.3599999999997</v>
      </c>
      <c r="G100" s="102">
        <f>SUMPRODUCT((Diário!$E$4:$E$2662='Analítico Cx.'!$B100)*(Diário!$B$4:$B$2662&gt;=G$4)*(Diário!$B$4:$B$2662&lt;=EOMONTH(G$4,0))*(Diário!$F$4:$F$2662))</f>
        <v>1557.6000000000001</v>
      </c>
      <c r="H100" s="102">
        <f>SUMPRODUCT((Diário!$E$4:$E$2662='Analítico Cx.'!$B100)*(Diário!$B$4:$B$2662&gt;=H$4)*(Diário!$B$4:$B$2662&lt;=EOMONTH(H$4,0))*(Diário!$F$4:$F$2662))</f>
        <v>1389.51</v>
      </c>
      <c r="I100" s="102">
        <f>SUMPRODUCT((Diário!$E$4:$E$2662='Analítico Cx.'!$B100)*(Diário!$B$4:$B$2662&gt;=I$4)*(Diário!$B$4:$B$2662&lt;=EOMONTH(I$4,0))*(Diário!$F$4:$F$2662))</f>
        <v>0</v>
      </c>
      <c r="J100" s="102">
        <f>SUMPRODUCT((Diário!$E$4:$E$2662='Analítico Cx.'!$B100)*(Diário!$B$4:$B$2662&gt;=J$4)*(Diário!$B$4:$B$2662&lt;=EOMONTH(J$4,0))*(Diário!$F$4:$F$2662))</f>
        <v>0</v>
      </c>
      <c r="K100" s="102">
        <f>SUMPRODUCT((Diário!$E$4:$E$2662='Analítico Cx.'!$B100)*(Diário!$B$4:$B$2662&gt;=K$4)*(Diário!$B$4:$B$2662&lt;=EOMONTH(K$4,0))*(Diário!$F$4:$F$2662))</f>
        <v>0</v>
      </c>
      <c r="L100" s="102">
        <f>SUMPRODUCT((Diário!$E$4:$E$2662='Analítico Cx.'!$B100)*(Diário!$B$4:$B$2662&gt;=L$4)*(Diário!$B$4:$B$2662&lt;=EOMONTH(L$4,0))*(Diário!$F$4:$F$2662))</f>
        <v>0</v>
      </c>
      <c r="M100" s="102">
        <f>SUMPRODUCT((Diário!$E$4:$E$2662='Analítico Cx.'!$B100)*(Diário!$B$4:$B$2662&gt;=M$4)*(Diário!$B$4:$B$2662&lt;=EOMONTH(M$4,0))*(Diário!$F$4:$F$2662))</f>
        <v>0</v>
      </c>
      <c r="N100" s="102">
        <f>SUMPRODUCT((Diário!$E$4:$E$2662='Analítico Cx.'!$B100)*(Diário!$B$4:$B$2662&gt;=N$4)*(Diário!$B$4:$B$2662&lt;=EOMONTH(N$4,0))*(Diário!$F$4:$F$2662))</f>
        <v>0</v>
      </c>
      <c r="O100" s="103">
        <f t="shared" si="17"/>
        <v>9505.48</v>
      </c>
      <c r="P100" s="95">
        <f t="shared" si="18"/>
        <v>4.908306289114258E-4</v>
      </c>
    </row>
    <row r="101" spans="1:16" ht="23.25" customHeight="1">
      <c r="A101" s="40" t="s">
        <v>183</v>
      </c>
      <c r="B101" s="61" t="s">
        <v>77</v>
      </c>
      <c r="C101" s="102">
        <f>SUMPRODUCT((Diário!$E$4:$E$2662='Analítico Cx.'!$B101)*(Diário!$B$4:$B$2662&gt;=C$4)*(Diário!$B$4:$B$2662&lt;=EOMONTH(C$4,0))*(Diário!$F$4:$F$2662))</f>
        <v>0</v>
      </c>
      <c r="D101" s="102">
        <f>SUMPRODUCT((Diário!$E$4:$E$2662='Analítico Cx.'!$B101)*(Diário!$B$4:$B$2662&gt;=D$4)*(Diário!$B$4:$B$2662&lt;=EOMONTH(D$4,0))*(Diário!$F$4:$F$2662))</f>
        <v>0</v>
      </c>
      <c r="E101" s="102">
        <f>SUMPRODUCT((Diário!$E$4:$E$2662='Analítico Cx.'!$B101)*(Diário!$B$4:$B$2662&gt;=E$4)*(Diário!$B$4:$B$2662&lt;=EOMONTH(E$4,0))*(Diário!$F$4:$F$2662))</f>
        <v>0</v>
      </c>
      <c r="F101" s="102">
        <f>SUMPRODUCT((Diário!$E$4:$E$2662='Analítico Cx.'!$B101)*(Diário!$B$4:$B$2662&gt;=F$4)*(Diário!$B$4:$B$2662&lt;=EOMONTH(F$4,0))*(Diário!$F$4:$F$2662))</f>
        <v>0</v>
      </c>
      <c r="G101" s="102">
        <f>SUMPRODUCT((Diário!$E$4:$E$2662='Analítico Cx.'!$B101)*(Diário!$B$4:$B$2662&gt;=G$4)*(Diário!$B$4:$B$2662&lt;=EOMONTH(G$4,0))*(Diário!$F$4:$F$2662))</f>
        <v>0</v>
      </c>
      <c r="H101" s="102">
        <f>SUMPRODUCT((Diário!$E$4:$E$2662='Analítico Cx.'!$B101)*(Diário!$B$4:$B$2662&gt;=H$4)*(Diário!$B$4:$B$2662&lt;=EOMONTH(H$4,0))*(Diário!$F$4:$F$2662))</f>
        <v>0</v>
      </c>
      <c r="I101" s="102">
        <f>SUMPRODUCT((Diário!$E$4:$E$2662='Analítico Cx.'!$B101)*(Diário!$B$4:$B$2662&gt;=I$4)*(Diário!$B$4:$B$2662&lt;=EOMONTH(I$4,0))*(Diário!$F$4:$F$2662))</f>
        <v>0</v>
      </c>
      <c r="J101" s="102">
        <f>SUMPRODUCT((Diário!$E$4:$E$2662='Analítico Cx.'!$B101)*(Diário!$B$4:$B$2662&gt;=J$4)*(Diário!$B$4:$B$2662&lt;=EOMONTH(J$4,0))*(Diário!$F$4:$F$2662))</f>
        <v>0</v>
      </c>
      <c r="K101" s="102">
        <f>SUMPRODUCT((Diário!$E$4:$E$2662='Analítico Cx.'!$B101)*(Diário!$B$4:$B$2662&gt;=K$4)*(Diário!$B$4:$B$2662&lt;=EOMONTH(K$4,0))*(Diário!$F$4:$F$2662))</f>
        <v>0</v>
      </c>
      <c r="L101" s="102">
        <f>SUMPRODUCT((Diário!$E$4:$E$2662='Analítico Cx.'!$B101)*(Diário!$B$4:$B$2662&gt;=L$4)*(Diário!$B$4:$B$2662&lt;=EOMONTH(L$4,0))*(Diário!$F$4:$F$2662))</f>
        <v>0</v>
      </c>
      <c r="M101" s="102">
        <f>SUMPRODUCT((Diário!$E$4:$E$2662='Analítico Cx.'!$B101)*(Diário!$B$4:$B$2662&gt;=M$4)*(Diário!$B$4:$B$2662&lt;=EOMONTH(M$4,0))*(Diário!$F$4:$F$2662))</f>
        <v>0</v>
      </c>
      <c r="N101" s="102">
        <f>SUMPRODUCT((Diário!$E$4:$E$2662='Analítico Cx.'!$B101)*(Diário!$B$4:$B$2662&gt;=N$4)*(Diário!$B$4:$B$2662&lt;=EOMONTH(N$4,0))*(Diário!$F$4:$F$2662))</f>
        <v>0</v>
      </c>
      <c r="O101" s="103">
        <f t="shared" si="17"/>
        <v>0</v>
      </c>
      <c r="P101" s="95">
        <f t="shared" si="18"/>
        <v>0</v>
      </c>
    </row>
    <row r="102" spans="1:16" ht="23.25" customHeight="1">
      <c r="A102" s="40" t="s">
        <v>184</v>
      </c>
      <c r="B102" s="62" t="s">
        <v>207</v>
      </c>
      <c r="C102" s="102">
        <f>SUMPRODUCT((Diário!$E$4:$E$2662='Analítico Cx.'!$B102)*(Diário!$B$4:$B$2662&gt;=C$4)*(Diário!$B$4:$B$2662&lt;=EOMONTH(C$4,0))*(Diário!$F$4:$F$2662))</f>
        <v>0</v>
      </c>
      <c r="D102" s="102">
        <f>SUMPRODUCT((Diário!$E$4:$E$2662='Analítico Cx.'!$B102)*(Diário!$B$4:$B$2662&gt;=D$4)*(Diário!$B$4:$B$2662&lt;=EOMONTH(D$4,0))*(Diário!$F$4:$F$2662))</f>
        <v>0</v>
      </c>
      <c r="E102" s="102">
        <f>SUMPRODUCT((Diário!$E$4:$E$2662='Analítico Cx.'!$B102)*(Diário!$B$4:$B$2662&gt;=E$4)*(Diário!$B$4:$B$2662&lt;=EOMONTH(E$4,0))*(Diário!$F$4:$F$2662))</f>
        <v>0</v>
      </c>
      <c r="F102" s="102">
        <f>SUMPRODUCT((Diário!$E$4:$E$2662='Analítico Cx.'!$B102)*(Diário!$B$4:$B$2662&gt;=F$4)*(Diário!$B$4:$B$2662&lt;=EOMONTH(F$4,0))*(Diário!$F$4:$F$2662))</f>
        <v>0</v>
      </c>
      <c r="G102" s="102">
        <f>SUMPRODUCT((Diário!$E$4:$E$2662='Analítico Cx.'!$B102)*(Diário!$B$4:$B$2662&gt;=G$4)*(Diário!$B$4:$B$2662&lt;=EOMONTH(G$4,0))*(Diário!$F$4:$F$2662))</f>
        <v>0</v>
      </c>
      <c r="H102" s="102">
        <f>SUMPRODUCT((Diário!$E$4:$E$2662='Analítico Cx.'!$B102)*(Diário!$B$4:$B$2662&gt;=H$4)*(Diário!$B$4:$B$2662&lt;=EOMONTH(H$4,0))*(Diário!$F$4:$F$2662))</f>
        <v>0</v>
      </c>
      <c r="I102" s="102">
        <f>SUMPRODUCT((Diário!$E$4:$E$2662='Analítico Cx.'!$B102)*(Diário!$B$4:$B$2662&gt;=I$4)*(Diário!$B$4:$B$2662&lt;=EOMONTH(I$4,0))*(Diário!$F$4:$F$2662))</f>
        <v>0</v>
      </c>
      <c r="J102" s="102">
        <f>SUMPRODUCT((Diário!$E$4:$E$2662='Analítico Cx.'!$B102)*(Diário!$B$4:$B$2662&gt;=J$4)*(Diário!$B$4:$B$2662&lt;=EOMONTH(J$4,0))*(Diário!$F$4:$F$2662))</f>
        <v>0</v>
      </c>
      <c r="K102" s="102">
        <f>SUMPRODUCT((Diário!$E$4:$E$2662='Analítico Cx.'!$B102)*(Diário!$B$4:$B$2662&gt;=K$4)*(Diário!$B$4:$B$2662&lt;=EOMONTH(K$4,0))*(Diário!$F$4:$F$2662))</f>
        <v>0</v>
      </c>
      <c r="L102" s="102">
        <f>SUMPRODUCT((Diário!$E$4:$E$2662='Analítico Cx.'!$B102)*(Diário!$B$4:$B$2662&gt;=L$4)*(Diário!$B$4:$B$2662&lt;=EOMONTH(L$4,0))*(Diário!$F$4:$F$2662))</f>
        <v>0</v>
      </c>
      <c r="M102" s="102">
        <f>SUMPRODUCT((Diário!$E$4:$E$2662='Analítico Cx.'!$B102)*(Diário!$B$4:$B$2662&gt;=M$4)*(Diário!$B$4:$B$2662&lt;=EOMONTH(M$4,0))*(Diário!$F$4:$F$2662))</f>
        <v>0</v>
      </c>
      <c r="N102" s="102">
        <f>SUMPRODUCT((Diário!$E$4:$E$2662='Analítico Cx.'!$B102)*(Diário!$B$4:$B$2662&gt;=N$4)*(Diário!$B$4:$B$2662&lt;=EOMONTH(N$4,0))*(Diário!$F$4:$F$2662))</f>
        <v>0</v>
      </c>
      <c r="O102" s="103">
        <f t="shared" si="17"/>
        <v>0</v>
      </c>
      <c r="P102" s="95">
        <f t="shared" si="18"/>
        <v>0</v>
      </c>
    </row>
    <row r="103" spans="1:16" ht="23.25" customHeight="1">
      <c r="A103" s="40" t="s">
        <v>185</v>
      </c>
      <c r="B103" s="61" t="s">
        <v>244</v>
      </c>
      <c r="C103" s="102">
        <f>SUMPRODUCT((Diário!$E$4:$E$2662='Analítico Cx.'!$B103)*(Diário!$B$4:$B$2662&gt;=C$4)*(Diário!$B$4:$B$2662&lt;=EOMONTH(C$4,0))*(Diário!$F$4:$F$2662))</f>
        <v>0</v>
      </c>
      <c r="D103" s="102">
        <f>SUMPRODUCT((Diário!$E$4:$E$2662='Analítico Cx.'!$B103)*(Diário!$B$4:$B$2662&gt;=D$4)*(Diário!$B$4:$B$2662&lt;=EOMONTH(D$4,0))*(Diário!$F$4:$F$2662))</f>
        <v>0</v>
      </c>
      <c r="E103" s="102">
        <f>SUMPRODUCT((Diário!$E$4:$E$2662='Analítico Cx.'!$B103)*(Diário!$B$4:$B$2662&gt;=E$4)*(Diário!$B$4:$B$2662&lt;=EOMONTH(E$4,0))*(Diário!$F$4:$F$2662))</f>
        <v>0</v>
      </c>
      <c r="F103" s="102">
        <f>SUMPRODUCT((Diário!$E$4:$E$2662='Analítico Cx.'!$B103)*(Diário!$B$4:$B$2662&gt;=F$4)*(Diário!$B$4:$B$2662&lt;=EOMONTH(F$4,0))*(Diário!$F$4:$F$2662))</f>
        <v>0</v>
      </c>
      <c r="G103" s="102">
        <f>SUMPRODUCT((Diário!$E$4:$E$2662='Analítico Cx.'!$B103)*(Diário!$B$4:$B$2662&gt;=G$4)*(Diário!$B$4:$B$2662&lt;=EOMONTH(G$4,0))*(Diário!$F$4:$F$2662))</f>
        <v>0</v>
      </c>
      <c r="H103" s="102">
        <f>SUMPRODUCT((Diário!$E$4:$E$2662='Analítico Cx.'!$B103)*(Diário!$B$4:$B$2662&gt;=H$4)*(Diário!$B$4:$B$2662&lt;=EOMONTH(H$4,0))*(Diário!$F$4:$F$2662))</f>
        <v>0</v>
      </c>
      <c r="I103" s="102">
        <f>SUMPRODUCT((Diário!$E$4:$E$2662='Analítico Cx.'!$B103)*(Diário!$B$4:$B$2662&gt;=I$4)*(Diário!$B$4:$B$2662&lt;=EOMONTH(I$4,0))*(Diário!$F$4:$F$2662))</f>
        <v>0</v>
      </c>
      <c r="J103" s="102">
        <f>SUMPRODUCT((Diário!$E$4:$E$2662='Analítico Cx.'!$B103)*(Diário!$B$4:$B$2662&gt;=J$4)*(Diário!$B$4:$B$2662&lt;=EOMONTH(J$4,0))*(Diário!$F$4:$F$2662))</f>
        <v>0</v>
      </c>
      <c r="K103" s="102">
        <f>SUMPRODUCT((Diário!$E$4:$E$2662='Analítico Cx.'!$B103)*(Diário!$B$4:$B$2662&gt;=K$4)*(Diário!$B$4:$B$2662&lt;=EOMONTH(K$4,0))*(Diário!$F$4:$F$2662))</f>
        <v>0</v>
      </c>
      <c r="L103" s="102">
        <f>SUMPRODUCT((Diário!$E$4:$E$2662='Analítico Cx.'!$B103)*(Diário!$B$4:$B$2662&gt;=L$4)*(Diário!$B$4:$B$2662&lt;=EOMONTH(L$4,0))*(Diário!$F$4:$F$2662))</f>
        <v>0</v>
      </c>
      <c r="M103" s="102">
        <f>SUMPRODUCT((Diário!$E$4:$E$2662='Analítico Cx.'!$B103)*(Diário!$B$4:$B$2662&gt;=M$4)*(Diário!$B$4:$B$2662&lt;=EOMONTH(M$4,0))*(Diário!$F$4:$F$2662))</f>
        <v>0</v>
      </c>
      <c r="N103" s="102">
        <f>SUMPRODUCT((Diário!$E$4:$E$2662='Analítico Cx.'!$B103)*(Diário!$B$4:$B$2662&gt;=N$4)*(Diário!$B$4:$B$2662&lt;=EOMONTH(N$4,0))*(Diário!$F$4:$F$2662))</f>
        <v>0</v>
      </c>
      <c r="O103" s="103">
        <f t="shared" si="17"/>
        <v>0</v>
      </c>
      <c r="P103" s="95">
        <f t="shared" si="18"/>
        <v>0</v>
      </c>
    </row>
    <row r="104" spans="1:16" ht="23.25" customHeight="1">
      <c r="A104" s="40" t="s">
        <v>186</v>
      </c>
      <c r="B104" s="60" t="s">
        <v>86</v>
      </c>
      <c r="C104" s="102">
        <f>SUMPRODUCT((Diário!$E$4:$E$2662='Analítico Cx.'!$B104)*(Diário!$B$4:$B$2662&gt;=C$4)*(Diário!$B$4:$B$2662&lt;=EOMONTH(C$4,0))*(Diário!$F$4:$F$2662))</f>
        <v>0</v>
      </c>
      <c r="D104" s="102">
        <f>SUMPRODUCT((Diário!$E$4:$E$2662='Analítico Cx.'!$B104)*(Diário!$B$4:$B$2662&gt;=D$4)*(Diário!$B$4:$B$2662&lt;=EOMONTH(D$4,0))*(Diário!$F$4:$F$2662))</f>
        <v>0</v>
      </c>
      <c r="E104" s="102">
        <f>SUMPRODUCT((Diário!$E$4:$E$2662='Analítico Cx.'!$B104)*(Diário!$B$4:$B$2662&gt;=E$4)*(Diário!$B$4:$B$2662&lt;=EOMONTH(E$4,0))*(Diário!$F$4:$F$2662))</f>
        <v>0</v>
      </c>
      <c r="F104" s="102">
        <f>SUMPRODUCT((Diário!$E$4:$E$2662='Analítico Cx.'!$B104)*(Diário!$B$4:$B$2662&gt;=F$4)*(Diário!$B$4:$B$2662&lt;=EOMONTH(F$4,0))*(Diário!$F$4:$F$2662))</f>
        <v>0</v>
      </c>
      <c r="G104" s="102">
        <f>SUMPRODUCT((Diário!$E$4:$E$2662='Analítico Cx.'!$B104)*(Diário!$B$4:$B$2662&gt;=G$4)*(Diário!$B$4:$B$2662&lt;=EOMONTH(G$4,0))*(Diário!$F$4:$F$2662))</f>
        <v>0</v>
      </c>
      <c r="H104" s="102">
        <f>SUMPRODUCT((Diário!$E$4:$E$2662='Analítico Cx.'!$B104)*(Diário!$B$4:$B$2662&gt;=H$4)*(Diário!$B$4:$B$2662&lt;=EOMONTH(H$4,0))*(Diário!$F$4:$F$2662))</f>
        <v>0</v>
      </c>
      <c r="I104" s="102">
        <f>SUMPRODUCT((Diário!$E$4:$E$2662='Analítico Cx.'!$B104)*(Diário!$B$4:$B$2662&gt;=I$4)*(Diário!$B$4:$B$2662&lt;=EOMONTH(I$4,0))*(Diário!$F$4:$F$2662))</f>
        <v>0</v>
      </c>
      <c r="J104" s="102">
        <f>SUMPRODUCT((Diário!$E$4:$E$2662='Analítico Cx.'!$B104)*(Diário!$B$4:$B$2662&gt;=J$4)*(Diário!$B$4:$B$2662&lt;=EOMONTH(J$4,0))*(Diário!$F$4:$F$2662))</f>
        <v>0</v>
      </c>
      <c r="K104" s="102">
        <f>SUMPRODUCT((Diário!$E$4:$E$2662='Analítico Cx.'!$B104)*(Diário!$B$4:$B$2662&gt;=K$4)*(Diário!$B$4:$B$2662&lt;=EOMONTH(K$4,0))*(Diário!$F$4:$F$2662))</f>
        <v>0</v>
      </c>
      <c r="L104" s="102">
        <f>SUMPRODUCT((Diário!$E$4:$E$2662='Analítico Cx.'!$B104)*(Diário!$B$4:$B$2662&gt;=L$4)*(Diário!$B$4:$B$2662&lt;=EOMONTH(L$4,0))*(Diário!$F$4:$F$2662))</f>
        <v>0</v>
      </c>
      <c r="M104" s="102">
        <f>SUMPRODUCT((Diário!$E$4:$E$2662='Analítico Cx.'!$B104)*(Diário!$B$4:$B$2662&gt;=M$4)*(Diário!$B$4:$B$2662&lt;=EOMONTH(M$4,0))*(Diário!$F$4:$F$2662))</f>
        <v>0</v>
      </c>
      <c r="N104" s="102">
        <f>SUMPRODUCT((Diário!$E$4:$E$2662='Analítico Cx.'!$B104)*(Diário!$B$4:$B$2662&gt;=N$4)*(Diário!$B$4:$B$2662&lt;=EOMONTH(N$4,0))*(Diário!$F$4:$F$2662))</f>
        <v>0</v>
      </c>
      <c r="O104" s="103">
        <f t="shared" si="17"/>
        <v>0</v>
      </c>
      <c r="P104" s="95">
        <f t="shared" si="18"/>
        <v>0</v>
      </c>
    </row>
    <row r="105" spans="1:16" ht="23.25" customHeight="1">
      <c r="A105" s="40" t="s">
        <v>187</v>
      </c>
      <c r="B105" s="60" t="s">
        <v>87</v>
      </c>
      <c r="C105" s="102">
        <f>SUMPRODUCT((Diário!$E$4:$E$2662='Analítico Cx.'!$B105)*(Diário!$B$4:$B$2662&gt;=C$4)*(Diário!$B$4:$B$2662&lt;=EOMONTH(C$4,0))*(Diário!$F$4:$F$2662))</f>
        <v>198.37</v>
      </c>
      <c r="D105" s="102">
        <f>SUMPRODUCT((Diário!$E$4:$E$2662='Analítico Cx.'!$B105)*(Diário!$B$4:$B$2662&gt;=D$4)*(Diário!$B$4:$B$2662&lt;=EOMONTH(D$4,0))*(Diário!$F$4:$F$2662))</f>
        <v>2150.34</v>
      </c>
      <c r="E105" s="102">
        <f>SUMPRODUCT((Diário!$E$4:$E$2662='Analítico Cx.'!$B105)*(Diário!$B$4:$B$2662&gt;=E$4)*(Diário!$B$4:$B$2662&lt;=EOMONTH(E$4,0))*(Diário!$F$4:$F$2662))</f>
        <v>1386.34</v>
      </c>
      <c r="F105" s="102">
        <f>SUMPRODUCT((Diário!$E$4:$E$2662='Analítico Cx.'!$B105)*(Diário!$B$4:$B$2662&gt;=F$4)*(Diário!$B$4:$B$2662&lt;=EOMONTH(F$4,0))*(Diário!$F$4:$F$2662))</f>
        <v>3816.41</v>
      </c>
      <c r="G105" s="102">
        <f>SUMPRODUCT((Diário!$E$4:$E$2662='Analítico Cx.'!$B105)*(Diário!$B$4:$B$2662&gt;=G$4)*(Diário!$B$4:$B$2662&lt;=EOMONTH(G$4,0))*(Diário!$F$4:$F$2662))</f>
        <v>4815.99</v>
      </c>
      <c r="H105" s="102">
        <f>SUMPRODUCT((Diário!$E$4:$E$2662='Analítico Cx.'!$B105)*(Diário!$B$4:$B$2662&gt;=H$4)*(Diário!$B$4:$B$2662&lt;=EOMONTH(H$4,0))*(Diário!$F$4:$F$2662))</f>
        <v>1668.03</v>
      </c>
      <c r="I105" s="102">
        <f>SUMPRODUCT((Diário!$E$4:$E$2662='Analítico Cx.'!$B105)*(Diário!$B$4:$B$2662&gt;=I$4)*(Diário!$B$4:$B$2662&lt;=EOMONTH(I$4,0))*(Diário!$F$4:$F$2662))</f>
        <v>0</v>
      </c>
      <c r="J105" s="102">
        <f>SUMPRODUCT((Diário!$E$4:$E$2662='Analítico Cx.'!$B105)*(Diário!$B$4:$B$2662&gt;=J$4)*(Diário!$B$4:$B$2662&lt;=EOMONTH(J$4,0))*(Diário!$F$4:$F$2662))</f>
        <v>0</v>
      </c>
      <c r="K105" s="102">
        <f>SUMPRODUCT((Diário!$E$4:$E$2662='Analítico Cx.'!$B105)*(Diário!$B$4:$B$2662&gt;=K$4)*(Diário!$B$4:$B$2662&lt;=EOMONTH(K$4,0))*(Diário!$F$4:$F$2662))</f>
        <v>0</v>
      </c>
      <c r="L105" s="102">
        <f>SUMPRODUCT((Diário!$E$4:$E$2662='Analítico Cx.'!$B105)*(Diário!$B$4:$B$2662&gt;=L$4)*(Diário!$B$4:$B$2662&lt;=EOMONTH(L$4,0))*(Diário!$F$4:$F$2662))</f>
        <v>0</v>
      </c>
      <c r="M105" s="102">
        <f>SUMPRODUCT((Diário!$E$4:$E$2662='Analítico Cx.'!$B105)*(Diário!$B$4:$B$2662&gt;=M$4)*(Diário!$B$4:$B$2662&lt;=EOMONTH(M$4,0))*(Diário!$F$4:$F$2662))</f>
        <v>0</v>
      </c>
      <c r="N105" s="102">
        <f>SUMPRODUCT((Diário!$E$4:$E$2662='Analítico Cx.'!$B105)*(Diário!$B$4:$B$2662&gt;=N$4)*(Diário!$B$4:$B$2662&lt;=EOMONTH(N$4,0))*(Diário!$F$4:$F$2662))</f>
        <v>0</v>
      </c>
      <c r="O105" s="103">
        <f t="shared" si="17"/>
        <v>14035.480000000001</v>
      </c>
      <c r="P105" s="95">
        <f t="shared" si="18"/>
        <v>7.2474440801240331E-4</v>
      </c>
    </row>
    <row r="106" spans="1:16" ht="23.25" customHeight="1">
      <c r="A106" s="40" t="s">
        <v>188</v>
      </c>
      <c r="B106" s="60" t="s">
        <v>57</v>
      </c>
      <c r="C106" s="102">
        <f>SUMPRODUCT((Diário!$E$4:$E$2662='Analítico Cx.'!$B106)*(Diário!$B$4:$B$2662&gt;=C$4)*(Diário!$B$4:$B$2662&lt;=EOMONTH(C$4,0))*(Diário!$F$4:$F$2662))</f>
        <v>2275.02</v>
      </c>
      <c r="D106" s="102">
        <f>SUMPRODUCT((Diário!$E$4:$E$2662='Analítico Cx.'!$B106)*(Diário!$B$4:$B$2662&gt;=D$4)*(Diário!$B$4:$B$2662&lt;=EOMONTH(D$4,0))*(Diário!$F$4:$F$2662))</f>
        <v>2581.92</v>
      </c>
      <c r="E106" s="102">
        <f>SUMPRODUCT((Diário!$E$4:$E$2662='Analítico Cx.'!$B106)*(Diário!$B$4:$B$2662&gt;=E$4)*(Diário!$B$4:$B$2662&lt;=EOMONTH(E$4,0))*(Diário!$F$4:$F$2662))</f>
        <v>0</v>
      </c>
      <c r="F106" s="102">
        <f>SUMPRODUCT((Diário!$E$4:$E$2662='Analítico Cx.'!$B106)*(Diário!$B$4:$B$2662&gt;=F$4)*(Diário!$B$4:$B$2662&lt;=EOMONTH(F$4,0))*(Diário!$F$4:$F$2662))</f>
        <v>382.4</v>
      </c>
      <c r="G106" s="102">
        <f>SUMPRODUCT((Diário!$E$4:$E$2662='Analítico Cx.'!$B106)*(Diário!$B$4:$B$2662&gt;=G$4)*(Diário!$B$4:$B$2662&lt;=EOMONTH(G$4,0))*(Diário!$F$4:$F$2662))</f>
        <v>1563.04</v>
      </c>
      <c r="H106" s="102">
        <f>SUMPRODUCT((Diário!$E$4:$E$2662='Analítico Cx.'!$B106)*(Diário!$B$4:$B$2662&gt;=H$4)*(Diário!$B$4:$B$2662&lt;=EOMONTH(H$4,0))*(Diário!$F$4:$F$2662))</f>
        <v>1584.38</v>
      </c>
      <c r="I106" s="102">
        <f>SUMPRODUCT((Diário!$E$4:$E$2662='Analítico Cx.'!$B106)*(Diário!$B$4:$B$2662&gt;=I$4)*(Diário!$B$4:$B$2662&lt;=EOMONTH(I$4,0))*(Diário!$F$4:$F$2662))</f>
        <v>0</v>
      </c>
      <c r="J106" s="102">
        <f>SUMPRODUCT((Diário!$E$4:$E$2662='Analítico Cx.'!$B106)*(Diário!$B$4:$B$2662&gt;=J$4)*(Diário!$B$4:$B$2662&lt;=EOMONTH(J$4,0))*(Diário!$F$4:$F$2662))</f>
        <v>0</v>
      </c>
      <c r="K106" s="102">
        <f>SUMPRODUCT((Diário!$E$4:$E$2662='Analítico Cx.'!$B106)*(Diário!$B$4:$B$2662&gt;=K$4)*(Diário!$B$4:$B$2662&lt;=EOMONTH(K$4,0))*(Diário!$F$4:$F$2662))</f>
        <v>0</v>
      </c>
      <c r="L106" s="102">
        <f>SUMPRODUCT((Diário!$E$4:$E$2662='Analítico Cx.'!$B106)*(Diário!$B$4:$B$2662&gt;=L$4)*(Diário!$B$4:$B$2662&lt;=EOMONTH(L$4,0))*(Diário!$F$4:$F$2662))</f>
        <v>0</v>
      </c>
      <c r="M106" s="102">
        <f>SUMPRODUCT((Diário!$E$4:$E$2662='Analítico Cx.'!$B106)*(Diário!$B$4:$B$2662&gt;=M$4)*(Diário!$B$4:$B$2662&lt;=EOMONTH(M$4,0))*(Diário!$F$4:$F$2662))</f>
        <v>0</v>
      </c>
      <c r="N106" s="102">
        <f>SUMPRODUCT((Diário!$E$4:$E$2662='Analítico Cx.'!$B106)*(Diário!$B$4:$B$2662&gt;=N$4)*(Diário!$B$4:$B$2662&lt;=EOMONTH(N$4,0))*(Diário!$F$4:$F$2662))</f>
        <v>0</v>
      </c>
      <c r="O106" s="103">
        <f t="shared" si="17"/>
        <v>8386.76</v>
      </c>
      <c r="P106" s="95">
        <f t="shared" si="18"/>
        <v>4.3306373642669173E-4</v>
      </c>
    </row>
    <row r="107" spans="1:16" ht="23.25" customHeight="1">
      <c r="A107" s="40" t="s">
        <v>190</v>
      </c>
      <c r="B107" s="60" t="s">
        <v>75</v>
      </c>
      <c r="C107" s="102">
        <f>SUMPRODUCT((Diário!$E$4:$E$2662='Analítico Cx.'!$B107)*(Diário!$B$4:$B$2662&gt;=C$4)*(Diário!$B$4:$B$2662&lt;=EOMONTH(C$4,0))*(Diário!$F$4:$F$2662))</f>
        <v>0</v>
      </c>
      <c r="D107" s="102">
        <f>SUMPRODUCT((Diário!$E$4:$E$2662='Analítico Cx.'!$B107)*(Diário!$B$4:$B$2662&gt;=D$4)*(Diário!$B$4:$B$2662&lt;=EOMONTH(D$4,0))*(Diário!$F$4:$F$2662))</f>
        <v>0</v>
      </c>
      <c r="E107" s="102">
        <f>SUMPRODUCT((Diário!$E$4:$E$2662='Analítico Cx.'!$B107)*(Diário!$B$4:$B$2662&gt;=E$4)*(Diário!$B$4:$B$2662&lt;=EOMONTH(E$4,0))*(Diário!$F$4:$F$2662))</f>
        <v>0</v>
      </c>
      <c r="F107" s="102">
        <f>SUMPRODUCT((Diário!$E$4:$E$2662='Analítico Cx.'!$B107)*(Diário!$B$4:$B$2662&gt;=F$4)*(Diário!$B$4:$B$2662&lt;=EOMONTH(F$4,0))*(Diário!$F$4:$F$2662))</f>
        <v>0</v>
      </c>
      <c r="G107" s="102">
        <f>SUMPRODUCT((Diário!$E$4:$E$2662='Analítico Cx.'!$B107)*(Diário!$B$4:$B$2662&gt;=G$4)*(Diário!$B$4:$B$2662&lt;=EOMONTH(G$4,0))*(Diário!$F$4:$F$2662))</f>
        <v>0</v>
      </c>
      <c r="H107" s="102">
        <f>SUMPRODUCT((Diário!$E$4:$E$2662='Analítico Cx.'!$B107)*(Diário!$B$4:$B$2662&gt;=H$4)*(Diário!$B$4:$B$2662&lt;=EOMONTH(H$4,0))*(Diário!$F$4:$F$2662))</f>
        <v>0</v>
      </c>
      <c r="I107" s="102">
        <f>SUMPRODUCT((Diário!$E$4:$E$2662='Analítico Cx.'!$B107)*(Diário!$B$4:$B$2662&gt;=I$4)*(Diário!$B$4:$B$2662&lt;=EOMONTH(I$4,0))*(Diário!$F$4:$F$2662))</f>
        <v>0</v>
      </c>
      <c r="J107" s="102">
        <f>SUMPRODUCT((Diário!$E$4:$E$2662='Analítico Cx.'!$B107)*(Diário!$B$4:$B$2662&gt;=J$4)*(Diário!$B$4:$B$2662&lt;=EOMONTH(J$4,0))*(Diário!$F$4:$F$2662))</f>
        <v>0</v>
      </c>
      <c r="K107" s="102">
        <f>SUMPRODUCT((Diário!$E$4:$E$2662='Analítico Cx.'!$B107)*(Diário!$B$4:$B$2662&gt;=K$4)*(Diário!$B$4:$B$2662&lt;=EOMONTH(K$4,0))*(Diário!$F$4:$F$2662))</f>
        <v>0</v>
      </c>
      <c r="L107" s="102">
        <f>SUMPRODUCT((Diário!$E$4:$E$2662='Analítico Cx.'!$B107)*(Diário!$B$4:$B$2662&gt;=L$4)*(Diário!$B$4:$B$2662&lt;=EOMONTH(L$4,0))*(Diário!$F$4:$F$2662))</f>
        <v>0</v>
      </c>
      <c r="M107" s="102">
        <f>SUMPRODUCT((Diário!$E$4:$E$2662='Analítico Cx.'!$B107)*(Diário!$B$4:$B$2662&gt;=M$4)*(Diário!$B$4:$B$2662&lt;=EOMONTH(M$4,0))*(Diário!$F$4:$F$2662))</f>
        <v>0</v>
      </c>
      <c r="N107" s="102">
        <f>SUMPRODUCT((Diário!$E$4:$E$2662='Analítico Cx.'!$B107)*(Diário!$B$4:$B$2662&gt;=N$4)*(Diário!$B$4:$B$2662&lt;=EOMONTH(N$4,0))*(Diário!$F$4:$F$2662))</f>
        <v>0</v>
      </c>
      <c r="O107" s="103">
        <f t="shared" si="17"/>
        <v>0</v>
      </c>
      <c r="P107" s="95">
        <f t="shared" si="18"/>
        <v>0</v>
      </c>
    </row>
    <row r="108" spans="1:16" ht="23.25" customHeight="1">
      <c r="A108" s="40" t="s">
        <v>191</v>
      </c>
      <c r="B108" s="60" t="s">
        <v>189</v>
      </c>
      <c r="C108" s="102">
        <f>SUMPRODUCT((Diário!$E$4:$E$2662='Analítico Cx.'!$B108)*(Diário!$B$4:$B$2662&gt;=C$4)*(Diário!$B$4:$B$2662&lt;=EOMONTH(C$4,0))*(Diário!$F$4:$F$2662))</f>
        <v>0</v>
      </c>
      <c r="D108" s="102">
        <f>SUMPRODUCT((Diário!$E$4:$E$2662='Analítico Cx.'!$B108)*(Diário!$B$4:$B$2662&gt;=D$4)*(Diário!$B$4:$B$2662&lt;=EOMONTH(D$4,0))*(Diário!$F$4:$F$2662))</f>
        <v>0</v>
      </c>
      <c r="E108" s="102">
        <f>SUMPRODUCT((Diário!$E$4:$E$2662='Analítico Cx.'!$B108)*(Diário!$B$4:$B$2662&gt;=E$4)*(Diário!$B$4:$B$2662&lt;=EOMONTH(E$4,0))*(Diário!$F$4:$F$2662))</f>
        <v>0</v>
      </c>
      <c r="F108" s="102">
        <f>SUMPRODUCT((Diário!$E$4:$E$2662='Analítico Cx.'!$B108)*(Diário!$B$4:$B$2662&gt;=F$4)*(Diário!$B$4:$B$2662&lt;=EOMONTH(F$4,0))*(Diário!$F$4:$F$2662))</f>
        <v>0</v>
      </c>
      <c r="G108" s="102">
        <f>SUMPRODUCT((Diário!$E$4:$E$2662='Analítico Cx.'!$B108)*(Diário!$B$4:$B$2662&gt;=G$4)*(Diário!$B$4:$B$2662&lt;=EOMONTH(G$4,0))*(Diário!$F$4:$F$2662))</f>
        <v>0</v>
      </c>
      <c r="H108" s="102">
        <f>SUMPRODUCT((Diário!$E$4:$E$2662='Analítico Cx.'!$B108)*(Diário!$B$4:$B$2662&gt;=H$4)*(Diário!$B$4:$B$2662&lt;=EOMONTH(H$4,0))*(Diário!$F$4:$F$2662))</f>
        <v>0</v>
      </c>
      <c r="I108" s="102">
        <f>SUMPRODUCT((Diário!$E$4:$E$2662='Analítico Cx.'!$B108)*(Diário!$B$4:$B$2662&gt;=I$4)*(Diário!$B$4:$B$2662&lt;=EOMONTH(I$4,0))*(Diário!$F$4:$F$2662))</f>
        <v>0</v>
      </c>
      <c r="J108" s="102">
        <f>SUMPRODUCT((Diário!$E$4:$E$2662='Analítico Cx.'!$B108)*(Diário!$B$4:$B$2662&gt;=J$4)*(Diário!$B$4:$B$2662&lt;=EOMONTH(J$4,0))*(Diário!$F$4:$F$2662))</f>
        <v>0</v>
      </c>
      <c r="K108" s="102">
        <f>SUMPRODUCT((Diário!$E$4:$E$2662='Analítico Cx.'!$B108)*(Diário!$B$4:$B$2662&gt;=K$4)*(Diário!$B$4:$B$2662&lt;=EOMONTH(K$4,0))*(Diário!$F$4:$F$2662))</f>
        <v>0</v>
      </c>
      <c r="L108" s="102">
        <f>SUMPRODUCT((Diário!$E$4:$E$2662='Analítico Cx.'!$B108)*(Diário!$B$4:$B$2662&gt;=L$4)*(Diário!$B$4:$B$2662&lt;=EOMONTH(L$4,0))*(Diário!$F$4:$F$2662))</f>
        <v>0</v>
      </c>
      <c r="M108" s="102">
        <f>SUMPRODUCT((Diário!$E$4:$E$2662='Analítico Cx.'!$B108)*(Diário!$B$4:$B$2662&gt;=M$4)*(Diário!$B$4:$B$2662&lt;=EOMONTH(M$4,0))*(Diário!$F$4:$F$2662))</f>
        <v>0</v>
      </c>
      <c r="N108" s="102">
        <f>SUMPRODUCT((Diário!$E$4:$E$2662='Analítico Cx.'!$B108)*(Diário!$B$4:$B$2662&gt;=N$4)*(Diário!$B$4:$B$2662&lt;=EOMONTH(N$4,0))*(Diário!$F$4:$F$2662))</f>
        <v>0</v>
      </c>
      <c r="O108" s="103">
        <f t="shared" si="17"/>
        <v>0</v>
      </c>
      <c r="P108" s="95">
        <f t="shared" si="18"/>
        <v>0</v>
      </c>
    </row>
    <row r="109" spans="1:16" ht="23.25" customHeight="1">
      <c r="A109" s="40" t="s">
        <v>192</v>
      </c>
      <c r="B109" s="60" t="s">
        <v>79</v>
      </c>
      <c r="C109" s="102">
        <f>SUMPRODUCT((Diário!$E$4:$E$2662='Analítico Cx.'!$B109)*(Diário!$B$4:$B$2662&gt;=C$4)*(Diário!$B$4:$B$2662&lt;=EOMONTH(C$4,0))*(Diário!$F$4:$F$2662))</f>
        <v>0</v>
      </c>
      <c r="D109" s="102">
        <f>SUMPRODUCT((Diário!$E$4:$E$2662='Analítico Cx.'!$B109)*(Diário!$B$4:$B$2662&gt;=D$4)*(Diário!$B$4:$B$2662&lt;=EOMONTH(D$4,0))*(Diário!$F$4:$F$2662))</f>
        <v>0</v>
      </c>
      <c r="E109" s="102">
        <f>SUMPRODUCT((Diário!$E$4:$E$2662='Analítico Cx.'!$B109)*(Diário!$B$4:$B$2662&gt;=E$4)*(Diário!$B$4:$B$2662&lt;=EOMONTH(E$4,0))*(Diário!$F$4:$F$2662))</f>
        <v>0</v>
      </c>
      <c r="F109" s="102">
        <f>SUMPRODUCT((Diário!$E$4:$E$2662='Analítico Cx.'!$B109)*(Diário!$B$4:$B$2662&gt;=F$4)*(Diário!$B$4:$B$2662&lt;=EOMONTH(F$4,0))*(Diário!$F$4:$F$2662))</f>
        <v>0</v>
      </c>
      <c r="G109" s="102">
        <f>SUMPRODUCT((Diário!$E$4:$E$2662='Analítico Cx.'!$B109)*(Diário!$B$4:$B$2662&gt;=G$4)*(Diário!$B$4:$B$2662&lt;=EOMONTH(G$4,0))*(Diário!$F$4:$F$2662))</f>
        <v>0</v>
      </c>
      <c r="H109" s="102">
        <f>SUMPRODUCT((Diário!$E$4:$E$2662='Analítico Cx.'!$B109)*(Diário!$B$4:$B$2662&gt;=H$4)*(Diário!$B$4:$B$2662&lt;=EOMONTH(H$4,0))*(Diário!$F$4:$F$2662))</f>
        <v>0</v>
      </c>
      <c r="I109" s="102">
        <f>SUMPRODUCT((Diário!$E$4:$E$2662='Analítico Cx.'!$B109)*(Diário!$B$4:$B$2662&gt;=I$4)*(Diário!$B$4:$B$2662&lt;=EOMONTH(I$4,0))*(Diário!$F$4:$F$2662))</f>
        <v>0</v>
      </c>
      <c r="J109" s="102">
        <f>SUMPRODUCT((Diário!$E$4:$E$2662='Analítico Cx.'!$B109)*(Diário!$B$4:$B$2662&gt;=J$4)*(Diário!$B$4:$B$2662&lt;=EOMONTH(J$4,0))*(Diário!$F$4:$F$2662))</f>
        <v>0</v>
      </c>
      <c r="K109" s="102">
        <f>SUMPRODUCT((Diário!$E$4:$E$2662='Analítico Cx.'!$B109)*(Diário!$B$4:$B$2662&gt;=K$4)*(Diário!$B$4:$B$2662&lt;=EOMONTH(K$4,0))*(Diário!$F$4:$F$2662))</f>
        <v>0</v>
      </c>
      <c r="L109" s="102">
        <f>SUMPRODUCT((Diário!$E$4:$E$2662='Analítico Cx.'!$B109)*(Diário!$B$4:$B$2662&gt;=L$4)*(Diário!$B$4:$B$2662&lt;=EOMONTH(L$4,0))*(Diário!$F$4:$F$2662))</f>
        <v>0</v>
      </c>
      <c r="M109" s="102">
        <f>SUMPRODUCT((Diário!$E$4:$E$2662='Analítico Cx.'!$B109)*(Diário!$B$4:$B$2662&gt;=M$4)*(Diário!$B$4:$B$2662&lt;=EOMONTH(M$4,0))*(Diário!$F$4:$F$2662))</f>
        <v>0</v>
      </c>
      <c r="N109" s="102">
        <f>SUMPRODUCT((Diário!$E$4:$E$2662='Analítico Cx.'!$B109)*(Diário!$B$4:$B$2662&gt;=N$4)*(Diário!$B$4:$B$2662&lt;=EOMONTH(N$4,0))*(Diário!$F$4:$F$2662))</f>
        <v>0</v>
      </c>
      <c r="O109" s="103">
        <f t="shared" si="17"/>
        <v>0</v>
      </c>
      <c r="P109" s="95">
        <f t="shared" si="18"/>
        <v>0</v>
      </c>
    </row>
    <row r="110" spans="1:16" ht="23.25" customHeight="1">
      <c r="A110" s="40" t="s">
        <v>193</v>
      </c>
      <c r="B110" s="60" t="s">
        <v>71</v>
      </c>
      <c r="C110" s="102">
        <f>SUMPRODUCT((Diário!$E$4:$E$2662='Analítico Cx.'!$B110)*(Diário!$B$4:$B$2662&gt;=C$4)*(Diário!$B$4:$B$2662&lt;=EOMONTH(C$4,0))*(Diário!$F$4:$F$2662))</f>
        <v>0</v>
      </c>
      <c r="D110" s="102">
        <f>SUMPRODUCT((Diário!$E$4:$E$2662='Analítico Cx.'!$B110)*(Diário!$B$4:$B$2662&gt;=D$4)*(Diário!$B$4:$B$2662&lt;=EOMONTH(D$4,0))*(Diário!$F$4:$F$2662))</f>
        <v>0</v>
      </c>
      <c r="E110" s="102">
        <f>SUMPRODUCT((Diário!$E$4:$E$2662='Analítico Cx.'!$B110)*(Diário!$B$4:$B$2662&gt;=E$4)*(Diário!$B$4:$B$2662&lt;=EOMONTH(E$4,0))*(Diário!$F$4:$F$2662))</f>
        <v>0</v>
      </c>
      <c r="F110" s="102">
        <f>SUMPRODUCT((Diário!$E$4:$E$2662='Analítico Cx.'!$B110)*(Diário!$B$4:$B$2662&gt;=F$4)*(Diário!$B$4:$B$2662&lt;=EOMONTH(F$4,0))*(Diário!$F$4:$F$2662))</f>
        <v>0</v>
      </c>
      <c r="G110" s="102">
        <f>SUMPRODUCT((Diário!$E$4:$E$2662='Analítico Cx.'!$B110)*(Diário!$B$4:$B$2662&gt;=G$4)*(Diário!$B$4:$B$2662&lt;=EOMONTH(G$4,0))*(Diário!$F$4:$F$2662))</f>
        <v>0</v>
      </c>
      <c r="H110" s="102">
        <f>SUMPRODUCT((Diário!$E$4:$E$2662='Analítico Cx.'!$B110)*(Diário!$B$4:$B$2662&gt;=H$4)*(Diário!$B$4:$B$2662&lt;=EOMONTH(H$4,0))*(Diário!$F$4:$F$2662))</f>
        <v>0</v>
      </c>
      <c r="I110" s="102">
        <f>SUMPRODUCT((Diário!$E$4:$E$2662='Analítico Cx.'!$B110)*(Diário!$B$4:$B$2662&gt;=I$4)*(Diário!$B$4:$B$2662&lt;=EOMONTH(I$4,0))*(Diário!$F$4:$F$2662))</f>
        <v>0</v>
      </c>
      <c r="J110" s="102">
        <f>SUMPRODUCT((Diário!$E$4:$E$2662='Analítico Cx.'!$B110)*(Diário!$B$4:$B$2662&gt;=J$4)*(Diário!$B$4:$B$2662&lt;=EOMONTH(J$4,0))*(Diário!$F$4:$F$2662))</f>
        <v>0</v>
      </c>
      <c r="K110" s="102">
        <f>SUMPRODUCT((Diário!$E$4:$E$2662='Analítico Cx.'!$B110)*(Diário!$B$4:$B$2662&gt;=K$4)*(Diário!$B$4:$B$2662&lt;=EOMONTH(K$4,0))*(Diário!$F$4:$F$2662))</f>
        <v>0</v>
      </c>
      <c r="L110" s="102">
        <f>SUMPRODUCT((Diário!$E$4:$E$2662='Analítico Cx.'!$B110)*(Diário!$B$4:$B$2662&gt;=L$4)*(Diário!$B$4:$B$2662&lt;=EOMONTH(L$4,0))*(Diário!$F$4:$F$2662))</f>
        <v>0</v>
      </c>
      <c r="M110" s="102">
        <f>SUMPRODUCT((Diário!$E$4:$E$2662='Analítico Cx.'!$B110)*(Diário!$B$4:$B$2662&gt;=M$4)*(Diário!$B$4:$B$2662&lt;=EOMONTH(M$4,0))*(Diário!$F$4:$F$2662))</f>
        <v>0</v>
      </c>
      <c r="N110" s="102">
        <f>SUMPRODUCT((Diário!$E$4:$E$2662='Analítico Cx.'!$B110)*(Diário!$B$4:$B$2662&gt;=N$4)*(Diário!$B$4:$B$2662&lt;=EOMONTH(N$4,0))*(Diário!$F$4:$F$2662))</f>
        <v>0</v>
      </c>
      <c r="O110" s="103">
        <f t="shared" si="17"/>
        <v>0</v>
      </c>
      <c r="P110" s="95">
        <f t="shared" si="18"/>
        <v>0</v>
      </c>
    </row>
    <row r="111" spans="1:16" ht="23.25" customHeight="1">
      <c r="A111" s="40" t="s">
        <v>195</v>
      </c>
      <c r="B111" s="60" t="s">
        <v>56</v>
      </c>
      <c r="C111" s="102">
        <f>SUMPRODUCT((Diário!$E$4:$E$2662='Analítico Cx.'!$B111)*(Diário!$B$4:$B$2662&gt;=C$4)*(Diário!$B$4:$B$2662&lt;=EOMONTH(C$4,0))*(Diário!$F$4:$F$2662))</f>
        <v>0</v>
      </c>
      <c r="D111" s="102">
        <f>SUMPRODUCT((Diário!$E$4:$E$2662='Analítico Cx.'!$B111)*(Diário!$B$4:$B$2662&gt;=D$4)*(Diário!$B$4:$B$2662&lt;=EOMONTH(D$4,0))*(Diário!$F$4:$F$2662))</f>
        <v>0</v>
      </c>
      <c r="E111" s="102">
        <f>SUMPRODUCT((Diário!$E$4:$E$2662='Analítico Cx.'!$B111)*(Diário!$B$4:$B$2662&gt;=E$4)*(Diário!$B$4:$B$2662&lt;=EOMONTH(E$4,0))*(Diário!$F$4:$F$2662))</f>
        <v>0</v>
      </c>
      <c r="F111" s="102">
        <f>SUMPRODUCT((Diário!$E$4:$E$2662='Analítico Cx.'!$B111)*(Diário!$B$4:$B$2662&gt;=F$4)*(Diário!$B$4:$B$2662&lt;=EOMONTH(F$4,0))*(Diário!$F$4:$F$2662))</f>
        <v>0</v>
      </c>
      <c r="G111" s="102">
        <f>SUMPRODUCT((Diário!$E$4:$E$2662='Analítico Cx.'!$B111)*(Diário!$B$4:$B$2662&gt;=G$4)*(Diário!$B$4:$B$2662&lt;=EOMONTH(G$4,0))*(Diário!$F$4:$F$2662))</f>
        <v>0</v>
      </c>
      <c r="H111" s="102">
        <f>SUMPRODUCT((Diário!$E$4:$E$2662='Analítico Cx.'!$B111)*(Diário!$B$4:$B$2662&gt;=H$4)*(Diário!$B$4:$B$2662&lt;=EOMONTH(H$4,0))*(Diário!$F$4:$F$2662))</f>
        <v>0</v>
      </c>
      <c r="I111" s="102">
        <f>SUMPRODUCT((Diário!$E$4:$E$2662='Analítico Cx.'!$B111)*(Diário!$B$4:$B$2662&gt;=I$4)*(Diário!$B$4:$B$2662&lt;=EOMONTH(I$4,0))*(Diário!$F$4:$F$2662))</f>
        <v>0</v>
      </c>
      <c r="J111" s="102">
        <f>SUMPRODUCT((Diário!$E$4:$E$2662='Analítico Cx.'!$B111)*(Diário!$B$4:$B$2662&gt;=J$4)*(Diário!$B$4:$B$2662&lt;=EOMONTH(J$4,0))*(Diário!$F$4:$F$2662))</f>
        <v>0</v>
      </c>
      <c r="K111" s="102">
        <f>SUMPRODUCT((Diário!$E$4:$E$2662='Analítico Cx.'!$B111)*(Diário!$B$4:$B$2662&gt;=K$4)*(Diário!$B$4:$B$2662&lt;=EOMONTH(K$4,0))*(Diário!$F$4:$F$2662))</f>
        <v>0</v>
      </c>
      <c r="L111" s="102">
        <f>SUMPRODUCT((Diário!$E$4:$E$2662='Analítico Cx.'!$B111)*(Diário!$B$4:$B$2662&gt;=L$4)*(Diário!$B$4:$B$2662&lt;=EOMONTH(L$4,0))*(Diário!$F$4:$F$2662))</f>
        <v>0</v>
      </c>
      <c r="M111" s="102">
        <f>SUMPRODUCT((Diário!$E$4:$E$2662='Analítico Cx.'!$B111)*(Diário!$B$4:$B$2662&gt;=M$4)*(Diário!$B$4:$B$2662&lt;=EOMONTH(M$4,0))*(Diário!$F$4:$F$2662))</f>
        <v>0</v>
      </c>
      <c r="N111" s="102">
        <f>SUMPRODUCT((Diário!$E$4:$E$2662='Analítico Cx.'!$B111)*(Diário!$B$4:$B$2662&gt;=N$4)*(Diário!$B$4:$B$2662&lt;=EOMONTH(N$4,0))*(Diário!$F$4:$F$2662))</f>
        <v>0</v>
      </c>
      <c r="O111" s="103">
        <f t="shared" si="17"/>
        <v>0</v>
      </c>
      <c r="P111" s="95">
        <f t="shared" si="18"/>
        <v>0</v>
      </c>
    </row>
    <row r="112" spans="1:16" ht="23.25" customHeight="1">
      <c r="A112" s="40" t="s">
        <v>197</v>
      </c>
      <c r="B112" s="60" t="s">
        <v>194</v>
      </c>
      <c r="C112" s="102">
        <f>SUMPRODUCT((Diário!$E$4:$E$2662='Analítico Cx.'!$B112)*(Diário!$B$4:$B$2662&gt;=C$4)*(Diário!$B$4:$B$2662&lt;=EOMONTH(C$4,0))*(Diário!$F$4:$F$2662))</f>
        <v>0</v>
      </c>
      <c r="D112" s="102">
        <f>SUMPRODUCT((Diário!$E$4:$E$2662='Analítico Cx.'!$B112)*(Diário!$B$4:$B$2662&gt;=D$4)*(Diário!$B$4:$B$2662&lt;=EOMONTH(D$4,0))*(Diário!$F$4:$F$2662))</f>
        <v>0</v>
      </c>
      <c r="E112" s="102">
        <f>SUMPRODUCT((Diário!$E$4:$E$2662='Analítico Cx.'!$B112)*(Diário!$B$4:$B$2662&gt;=E$4)*(Diário!$B$4:$B$2662&lt;=EOMONTH(E$4,0))*(Diário!$F$4:$F$2662))</f>
        <v>0</v>
      </c>
      <c r="F112" s="102">
        <f>SUMPRODUCT((Diário!$E$4:$E$2662='Analítico Cx.'!$B112)*(Diário!$B$4:$B$2662&gt;=F$4)*(Diário!$B$4:$B$2662&lt;=EOMONTH(F$4,0))*(Diário!$F$4:$F$2662))</f>
        <v>0</v>
      </c>
      <c r="G112" s="102">
        <f>SUMPRODUCT((Diário!$E$4:$E$2662='Analítico Cx.'!$B112)*(Diário!$B$4:$B$2662&gt;=G$4)*(Diário!$B$4:$B$2662&lt;=EOMONTH(G$4,0))*(Diário!$F$4:$F$2662))</f>
        <v>0</v>
      </c>
      <c r="H112" s="102">
        <f>SUMPRODUCT((Diário!$E$4:$E$2662='Analítico Cx.'!$B112)*(Diário!$B$4:$B$2662&gt;=H$4)*(Diário!$B$4:$B$2662&lt;=EOMONTH(H$4,0))*(Diário!$F$4:$F$2662))</f>
        <v>0</v>
      </c>
      <c r="I112" s="102">
        <f>SUMPRODUCT((Diário!$E$4:$E$2662='Analítico Cx.'!$B112)*(Diário!$B$4:$B$2662&gt;=I$4)*(Diário!$B$4:$B$2662&lt;=EOMONTH(I$4,0))*(Diário!$F$4:$F$2662))</f>
        <v>0</v>
      </c>
      <c r="J112" s="102">
        <f>SUMPRODUCT((Diário!$E$4:$E$2662='Analítico Cx.'!$B112)*(Diário!$B$4:$B$2662&gt;=J$4)*(Diário!$B$4:$B$2662&lt;=EOMONTH(J$4,0))*(Diário!$F$4:$F$2662))</f>
        <v>0</v>
      </c>
      <c r="K112" s="102">
        <f>SUMPRODUCT((Diário!$E$4:$E$2662='Analítico Cx.'!$B112)*(Diário!$B$4:$B$2662&gt;=K$4)*(Diário!$B$4:$B$2662&lt;=EOMONTH(K$4,0))*(Diário!$F$4:$F$2662))</f>
        <v>0</v>
      </c>
      <c r="L112" s="102">
        <f>SUMPRODUCT((Diário!$E$4:$E$2662='Analítico Cx.'!$B112)*(Diário!$B$4:$B$2662&gt;=L$4)*(Diário!$B$4:$B$2662&lt;=EOMONTH(L$4,0))*(Diário!$F$4:$F$2662))</f>
        <v>0</v>
      </c>
      <c r="M112" s="102">
        <f>SUMPRODUCT((Diário!$E$4:$E$2662='Analítico Cx.'!$B112)*(Diário!$B$4:$B$2662&gt;=M$4)*(Diário!$B$4:$B$2662&lt;=EOMONTH(M$4,0))*(Diário!$F$4:$F$2662))</f>
        <v>0</v>
      </c>
      <c r="N112" s="102">
        <f>SUMPRODUCT((Diário!$E$4:$E$2662='Analítico Cx.'!$B112)*(Diário!$B$4:$B$2662&gt;=N$4)*(Diário!$B$4:$B$2662&lt;=EOMONTH(N$4,0))*(Diário!$F$4:$F$2662))</f>
        <v>0</v>
      </c>
      <c r="O112" s="103">
        <f t="shared" si="17"/>
        <v>0</v>
      </c>
      <c r="P112" s="95">
        <f t="shared" si="18"/>
        <v>0</v>
      </c>
    </row>
    <row r="113" spans="1:16" ht="23.25" customHeight="1">
      <c r="A113" s="40" t="s">
        <v>199</v>
      </c>
      <c r="B113" s="60" t="s">
        <v>196</v>
      </c>
      <c r="C113" s="102">
        <f>SUMPRODUCT((Diário!$E$4:$E$2662='Analítico Cx.'!$B113)*(Diário!$B$4:$B$2662&gt;=C$4)*(Diário!$B$4:$B$2662&lt;=EOMONTH(C$4,0))*(Diário!$F$4:$F$2662))</f>
        <v>0</v>
      </c>
      <c r="D113" s="102">
        <f>SUMPRODUCT((Diário!$E$4:$E$2662='Analítico Cx.'!$B113)*(Diário!$B$4:$B$2662&gt;=D$4)*(Diário!$B$4:$B$2662&lt;=EOMONTH(D$4,0))*(Diário!$F$4:$F$2662))</f>
        <v>0</v>
      </c>
      <c r="E113" s="102">
        <f>SUMPRODUCT((Diário!$E$4:$E$2662='Analítico Cx.'!$B113)*(Diário!$B$4:$B$2662&gt;=E$4)*(Diário!$B$4:$B$2662&lt;=EOMONTH(E$4,0))*(Diário!$F$4:$F$2662))</f>
        <v>0</v>
      </c>
      <c r="F113" s="102">
        <f>SUMPRODUCT((Diário!$E$4:$E$2662='Analítico Cx.'!$B113)*(Diário!$B$4:$B$2662&gt;=F$4)*(Diário!$B$4:$B$2662&lt;=EOMONTH(F$4,0))*(Diário!$F$4:$F$2662))</f>
        <v>0</v>
      </c>
      <c r="G113" s="102">
        <f>SUMPRODUCT((Diário!$E$4:$E$2662='Analítico Cx.'!$B113)*(Diário!$B$4:$B$2662&gt;=G$4)*(Diário!$B$4:$B$2662&lt;=EOMONTH(G$4,0))*(Diário!$F$4:$F$2662))</f>
        <v>0</v>
      </c>
      <c r="H113" s="102">
        <f>SUMPRODUCT((Diário!$E$4:$E$2662='Analítico Cx.'!$B113)*(Diário!$B$4:$B$2662&gt;=H$4)*(Diário!$B$4:$B$2662&lt;=EOMONTH(H$4,0))*(Diário!$F$4:$F$2662))</f>
        <v>0</v>
      </c>
      <c r="I113" s="102">
        <f>SUMPRODUCT((Diário!$E$4:$E$2662='Analítico Cx.'!$B113)*(Diário!$B$4:$B$2662&gt;=I$4)*(Diário!$B$4:$B$2662&lt;=EOMONTH(I$4,0))*(Diário!$F$4:$F$2662))</f>
        <v>0</v>
      </c>
      <c r="J113" s="102">
        <f>SUMPRODUCT((Diário!$E$4:$E$2662='Analítico Cx.'!$B113)*(Diário!$B$4:$B$2662&gt;=J$4)*(Diário!$B$4:$B$2662&lt;=EOMONTH(J$4,0))*(Diário!$F$4:$F$2662))</f>
        <v>0</v>
      </c>
      <c r="K113" s="102">
        <f>SUMPRODUCT((Diário!$E$4:$E$2662='Analítico Cx.'!$B113)*(Diário!$B$4:$B$2662&gt;=K$4)*(Diário!$B$4:$B$2662&lt;=EOMONTH(K$4,0))*(Diário!$F$4:$F$2662))</f>
        <v>0</v>
      </c>
      <c r="L113" s="102">
        <f>SUMPRODUCT((Diário!$E$4:$E$2662='Analítico Cx.'!$B113)*(Diário!$B$4:$B$2662&gt;=L$4)*(Diário!$B$4:$B$2662&lt;=EOMONTH(L$4,0))*(Diário!$F$4:$F$2662))</f>
        <v>0</v>
      </c>
      <c r="M113" s="102">
        <f>SUMPRODUCT((Diário!$E$4:$E$2662='Analítico Cx.'!$B113)*(Diário!$B$4:$B$2662&gt;=M$4)*(Diário!$B$4:$B$2662&lt;=EOMONTH(M$4,0))*(Diário!$F$4:$F$2662))</f>
        <v>0</v>
      </c>
      <c r="N113" s="102">
        <f>SUMPRODUCT((Diário!$E$4:$E$2662='Analítico Cx.'!$B113)*(Diário!$B$4:$B$2662&gt;=N$4)*(Diário!$B$4:$B$2662&lt;=EOMONTH(N$4,0))*(Diário!$F$4:$F$2662))</f>
        <v>0</v>
      </c>
      <c r="O113" s="103">
        <f t="shared" si="17"/>
        <v>0</v>
      </c>
      <c r="P113" s="95">
        <f t="shared" si="18"/>
        <v>0</v>
      </c>
    </row>
    <row r="114" spans="1:16" ht="23.25" customHeight="1">
      <c r="A114" s="40" t="s">
        <v>200</v>
      </c>
      <c r="B114" s="60" t="s">
        <v>198</v>
      </c>
      <c r="C114" s="102">
        <f>SUMPRODUCT((Diário!$E$4:$E$2662='Analítico Cx.'!$B114)*(Diário!$B$4:$B$2662&gt;=C$4)*(Diário!$B$4:$B$2662&lt;=EOMONTH(C$4,0))*(Diário!$F$4:$F$2662))</f>
        <v>0</v>
      </c>
      <c r="D114" s="102">
        <f>SUMPRODUCT((Diário!$E$4:$E$2662='Analítico Cx.'!$B114)*(Diário!$B$4:$B$2662&gt;=D$4)*(Diário!$B$4:$B$2662&lt;=EOMONTH(D$4,0))*(Diário!$F$4:$F$2662))</f>
        <v>0</v>
      </c>
      <c r="E114" s="102">
        <f>SUMPRODUCT((Diário!$E$4:$E$2662='Analítico Cx.'!$B114)*(Diário!$B$4:$B$2662&gt;=E$4)*(Diário!$B$4:$B$2662&lt;=EOMONTH(E$4,0))*(Diário!$F$4:$F$2662))</f>
        <v>0</v>
      </c>
      <c r="F114" s="102">
        <f>SUMPRODUCT((Diário!$E$4:$E$2662='Analítico Cx.'!$B114)*(Diário!$B$4:$B$2662&gt;=F$4)*(Diário!$B$4:$B$2662&lt;=EOMONTH(F$4,0))*(Diário!$F$4:$F$2662))</f>
        <v>0</v>
      </c>
      <c r="G114" s="102">
        <f>SUMPRODUCT((Diário!$E$4:$E$2662='Analítico Cx.'!$B114)*(Diário!$B$4:$B$2662&gt;=G$4)*(Diário!$B$4:$B$2662&lt;=EOMONTH(G$4,0))*(Diário!$F$4:$F$2662))</f>
        <v>0</v>
      </c>
      <c r="H114" s="102">
        <f>SUMPRODUCT((Diário!$E$4:$E$2662='Analítico Cx.'!$B114)*(Diário!$B$4:$B$2662&gt;=H$4)*(Diário!$B$4:$B$2662&lt;=EOMONTH(H$4,0))*(Diário!$F$4:$F$2662))</f>
        <v>0</v>
      </c>
      <c r="I114" s="102">
        <f>SUMPRODUCT((Diário!$E$4:$E$2662='Analítico Cx.'!$B114)*(Diário!$B$4:$B$2662&gt;=I$4)*(Diário!$B$4:$B$2662&lt;=EOMONTH(I$4,0))*(Diário!$F$4:$F$2662))</f>
        <v>0</v>
      </c>
      <c r="J114" s="102">
        <f>SUMPRODUCT((Diário!$E$4:$E$2662='Analítico Cx.'!$B114)*(Diário!$B$4:$B$2662&gt;=J$4)*(Diário!$B$4:$B$2662&lt;=EOMONTH(J$4,0))*(Diário!$F$4:$F$2662))</f>
        <v>0</v>
      </c>
      <c r="K114" s="102">
        <f>SUMPRODUCT((Diário!$E$4:$E$2662='Analítico Cx.'!$B114)*(Diário!$B$4:$B$2662&gt;=K$4)*(Diário!$B$4:$B$2662&lt;=EOMONTH(K$4,0))*(Diário!$F$4:$F$2662))</f>
        <v>0</v>
      </c>
      <c r="L114" s="102">
        <f>SUMPRODUCT((Diário!$E$4:$E$2662='Analítico Cx.'!$B114)*(Diário!$B$4:$B$2662&gt;=L$4)*(Diário!$B$4:$B$2662&lt;=EOMONTH(L$4,0))*(Diário!$F$4:$F$2662))</f>
        <v>0</v>
      </c>
      <c r="M114" s="102">
        <f>SUMPRODUCT((Diário!$E$4:$E$2662='Analítico Cx.'!$B114)*(Diário!$B$4:$B$2662&gt;=M$4)*(Diário!$B$4:$B$2662&lt;=EOMONTH(M$4,0))*(Diário!$F$4:$F$2662))</f>
        <v>0</v>
      </c>
      <c r="N114" s="102">
        <f>SUMPRODUCT((Diário!$E$4:$E$2662='Analítico Cx.'!$B114)*(Diário!$B$4:$B$2662&gt;=N$4)*(Diário!$B$4:$B$2662&lt;=EOMONTH(N$4,0))*(Diário!$F$4:$F$2662))</f>
        <v>0</v>
      </c>
      <c r="O114" s="103">
        <f t="shared" si="17"/>
        <v>0</v>
      </c>
      <c r="P114" s="95">
        <f t="shared" si="18"/>
        <v>0</v>
      </c>
    </row>
    <row r="115" spans="1:16" ht="23.25" customHeight="1">
      <c r="A115" s="40" t="s">
        <v>202</v>
      </c>
      <c r="B115" s="60" t="s">
        <v>290</v>
      </c>
      <c r="C115" s="102">
        <f>SUMPRODUCT((Diário!$E$4:$E$2662='Analítico Cx.'!$B115)*(Diário!$B$4:$B$2662&gt;=C$4)*(Diário!$B$4:$B$2662&lt;=EOMONTH(C$4,0))*(Diário!$F$4:$F$2662))</f>
        <v>0</v>
      </c>
      <c r="D115" s="102">
        <f>SUMPRODUCT((Diário!$E$4:$E$2662='Analítico Cx.'!$B115)*(Diário!$B$4:$B$2662&gt;=D$4)*(Diário!$B$4:$B$2662&lt;=EOMONTH(D$4,0))*(Diário!$F$4:$F$2662))</f>
        <v>0</v>
      </c>
      <c r="E115" s="102">
        <f>SUMPRODUCT((Diário!$E$4:$E$2662='Analítico Cx.'!$B115)*(Diário!$B$4:$B$2662&gt;=E$4)*(Diário!$B$4:$B$2662&lt;=EOMONTH(E$4,0))*(Diário!$F$4:$F$2662))</f>
        <v>0</v>
      </c>
      <c r="F115" s="102">
        <f>SUMPRODUCT((Diário!$E$4:$E$2662='Analítico Cx.'!$B115)*(Diário!$B$4:$B$2662&gt;=F$4)*(Diário!$B$4:$B$2662&lt;=EOMONTH(F$4,0))*(Diário!$F$4:$F$2662))</f>
        <v>0</v>
      </c>
      <c r="G115" s="102">
        <f>SUMPRODUCT((Diário!$E$4:$E$2662='Analítico Cx.'!$B115)*(Diário!$B$4:$B$2662&gt;=G$4)*(Diário!$B$4:$B$2662&lt;=EOMONTH(G$4,0))*(Diário!$F$4:$F$2662))</f>
        <v>0</v>
      </c>
      <c r="H115" s="102">
        <f>SUMPRODUCT((Diário!$E$4:$E$2662='Analítico Cx.'!$B115)*(Diário!$B$4:$B$2662&gt;=H$4)*(Diário!$B$4:$B$2662&lt;=EOMONTH(H$4,0))*(Diário!$F$4:$F$2662))</f>
        <v>0</v>
      </c>
      <c r="I115" s="102">
        <f>SUMPRODUCT((Diário!$E$4:$E$2662='Analítico Cx.'!$B115)*(Diário!$B$4:$B$2662&gt;=I$4)*(Diário!$B$4:$B$2662&lt;=EOMONTH(I$4,0))*(Diário!$F$4:$F$2662))</f>
        <v>0</v>
      </c>
      <c r="J115" s="102">
        <f>SUMPRODUCT((Diário!$E$4:$E$2662='Analítico Cx.'!$B115)*(Diário!$B$4:$B$2662&gt;=J$4)*(Diário!$B$4:$B$2662&lt;=EOMONTH(J$4,0))*(Diário!$F$4:$F$2662))</f>
        <v>0</v>
      </c>
      <c r="K115" s="102">
        <f>SUMPRODUCT((Diário!$E$4:$E$2662='Analítico Cx.'!$B115)*(Diário!$B$4:$B$2662&gt;=K$4)*(Diário!$B$4:$B$2662&lt;=EOMONTH(K$4,0))*(Diário!$F$4:$F$2662))</f>
        <v>0</v>
      </c>
      <c r="L115" s="102">
        <f>SUMPRODUCT((Diário!$E$4:$E$2662='Analítico Cx.'!$B115)*(Diário!$B$4:$B$2662&gt;=L$4)*(Diário!$B$4:$B$2662&lt;=EOMONTH(L$4,0))*(Diário!$F$4:$F$2662))</f>
        <v>0</v>
      </c>
      <c r="M115" s="102">
        <f>SUMPRODUCT((Diário!$E$4:$E$2662='Analítico Cx.'!$B115)*(Diário!$B$4:$B$2662&gt;=M$4)*(Diário!$B$4:$B$2662&lt;=EOMONTH(M$4,0))*(Diário!$F$4:$F$2662))</f>
        <v>0</v>
      </c>
      <c r="N115" s="102">
        <f>SUMPRODUCT((Diário!$E$4:$E$2662='Analítico Cx.'!$B115)*(Diário!$B$4:$B$2662&gt;=N$4)*(Diário!$B$4:$B$2662&lt;=EOMONTH(N$4,0))*(Diário!$F$4:$F$2662))</f>
        <v>0</v>
      </c>
      <c r="O115" s="103">
        <f t="shared" si="17"/>
        <v>0</v>
      </c>
      <c r="P115" s="95">
        <f t="shared" si="18"/>
        <v>0</v>
      </c>
    </row>
    <row r="116" spans="1:16" ht="23.25" customHeight="1">
      <c r="A116" s="40" t="s">
        <v>203</v>
      </c>
      <c r="B116" s="60" t="s">
        <v>201</v>
      </c>
      <c r="C116" s="102">
        <f>SUMPRODUCT((Diário!$E$4:$E$2662='Analítico Cx.'!$B116)*(Diário!$B$4:$B$2662&gt;=C$4)*(Diário!$B$4:$B$2662&lt;=EOMONTH(C$4,0))*(Diário!$F$4:$F$2662))</f>
        <v>0</v>
      </c>
      <c r="D116" s="102">
        <f>SUMPRODUCT((Diário!$E$4:$E$2662='Analítico Cx.'!$B116)*(Diário!$B$4:$B$2662&gt;=D$4)*(Diário!$B$4:$B$2662&lt;=EOMONTH(D$4,0))*(Diário!$F$4:$F$2662))</f>
        <v>0</v>
      </c>
      <c r="E116" s="102">
        <f>SUMPRODUCT((Diário!$E$4:$E$2662='Analítico Cx.'!$B116)*(Diário!$B$4:$B$2662&gt;=E$4)*(Diário!$B$4:$B$2662&lt;=EOMONTH(E$4,0))*(Diário!$F$4:$F$2662))</f>
        <v>0</v>
      </c>
      <c r="F116" s="102">
        <f>SUMPRODUCT((Diário!$E$4:$E$2662='Analítico Cx.'!$B116)*(Diário!$B$4:$B$2662&gt;=F$4)*(Diário!$B$4:$B$2662&lt;=EOMONTH(F$4,0))*(Diário!$F$4:$F$2662))</f>
        <v>0</v>
      </c>
      <c r="G116" s="102">
        <f>SUMPRODUCT((Diário!$E$4:$E$2662='Analítico Cx.'!$B116)*(Diário!$B$4:$B$2662&gt;=G$4)*(Diário!$B$4:$B$2662&lt;=EOMONTH(G$4,0))*(Diário!$F$4:$F$2662))</f>
        <v>0</v>
      </c>
      <c r="H116" s="102">
        <f>SUMPRODUCT((Diário!$E$4:$E$2662='Analítico Cx.'!$B116)*(Diário!$B$4:$B$2662&gt;=H$4)*(Diário!$B$4:$B$2662&lt;=EOMONTH(H$4,0))*(Diário!$F$4:$F$2662))</f>
        <v>0</v>
      </c>
      <c r="I116" s="102">
        <f>SUMPRODUCT((Diário!$E$4:$E$2662='Analítico Cx.'!$B116)*(Diário!$B$4:$B$2662&gt;=I$4)*(Diário!$B$4:$B$2662&lt;=EOMONTH(I$4,0))*(Diário!$F$4:$F$2662))</f>
        <v>0</v>
      </c>
      <c r="J116" s="102">
        <f>SUMPRODUCT((Diário!$E$4:$E$2662='Analítico Cx.'!$B116)*(Diário!$B$4:$B$2662&gt;=J$4)*(Diário!$B$4:$B$2662&lt;=EOMONTH(J$4,0))*(Diário!$F$4:$F$2662))</f>
        <v>0</v>
      </c>
      <c r="K116" s="102">
        <f>SUMPRODUCT((Diário!$E$4:$E$2662='Analítico Cx.'!$B116)*(Diário!$B$4:$B$2662&gt;=K$4)*(Diário!$B$4:$B$2662&lt;=EOMONTH(K$4,0))*(Diário!$F$4:$F$2662))</f>
        <v>0</v>
      </c>
      <c r="L116" s="102">
        <f>SUMPRODUCT((Diário!$E$4:$E$2662='Analítico Cx.'!$B116)*(Diário!$B$4:$B$2662&gt;=L$4)*(Diário!$B$4:$B$2662&lt;=EOMONTH(L$4,0))*(Diário!$F$4:$F$2662))</f>
        <v>0</v>
      </c>
      <c r="M116" s="102">
        <f>SUMPRODUCT((Diário!$E$4:$E$2662='Analítico Cx.'!$B116)*(Diário!$B$4:$B$2662&gt;=M$4)*(Diário!$B$4:$B$2662&lt;=EOMONTH(M$4,0))*(Diário!$F$4:$F$2662))</f>
        <v>0</v>
      </c>
      <c r="N116" s="102">
        <f>SUMPRODUCT((Diário!$E$4:$E$2662='Analítico Cx.'!$B116)*(Diário!$B$4:$B$2662&gt;=N$4)*(Diário!$B$4:$B$2662&lt;=EOMONTH(N$4,0))*(Diário!$F$4:$F$2662))</f>
        <v>0</v>
      </c>
      <c r="O116" s="103">
        <f t="shared" ref="O116:O172" si="19">SUM(C116:N116)</f>
        <v>0</v>
      </c>
      <c r="P116" s="95">
        <f t="shared" ref="P116:P172" si="20">IF($O$191=0,0,O116/$O$191)</f>
        <v>0</v>
      </c>
    </row>
    <row r="117" spans="1:16" ht="23.25" customHeight="1">
      <c r="A117" s="40" t="s">
        <v>204</v>
      </c>
      <c r="B117" s="60" t="s">
        <v>271</v>
      </c>
      <c r="C117" s="102">
        <f>SUMPRODUCT((Diário!$E$4:$E$2662='Analítico Cx.'!$B117)*(Diário!$B$4:$B$2662&gt;=C$4)*(Diário!$B$4:$B$2662&lt;=EOMONTH(C$4,0))*(Diário!$F$4:$F$2662))</f>
        <v>0</v>
      </c>
      <c r="D117" s="102">
        <f>SUMPRODUCT((Diário!$E$4:$E$2662='Analítico Cx.'!$B117)*(Diário!$B$4:$B$2662&gt;=D$4)*(Diário!$B$4:$B$2662&lt;=EOMONTH(D$4,0))*(Diário!$F$4:$F$2662))</f>
        <v>0</v>
      </c>
      <c r="E117" s="102">
        <f>SUMPRODUCT((Diário!$E$4:$E$2662='Analítico Cx.'!$B117)*(Diário!$B$4:$B$2662&gt;=E$4)*(Diário!$B$4:$B$2662&lt;=EOMONTH(E$4,0))*(Diário!$F$4:$F$2662))</f>
        <v>0</v>
      </c>
      <c r="F117" s="102">
        <f>SUMPRODUCT((Diário!$E$4:$E$2662='Analítico Cx.'!$B117)*(Diário!$B$4:$B$2662&gt;=F$4)*(Diário!$B$4:$B$2662&lt;=EOMONTH(F$4,0))*(Diário!$F$4:$F$2662))</f>
        <v>0</v>
      </c>
      <c r="G117" s="102">
        <f>SUMPRODUCT((Diário!$E$4:$E$2662='Analítico Cx.'!$B117)*(Diário!$B$4:$B$2662&gt;=G$4)*(Diário!$B$4:$B$2662&lt;=EOMONTH(G$4,0))*(Diário!$F$4:$F$2662))</f>
        <v>0</v>
      </c>
      <c r="H117" s="102">
        <f>SUMPRODUCT((Diário!$E$4:$E$2662='Analítico Cx.'!$B117)*(Diário!$B$4:$B$2662&gt;=H$4)*(Diário!$B$4:$B$2662&lt;=EOMONTH(H$4,0))*(Diário!$F$4:$F$2662))</f>
        <v>0</v>
      </c>
      <c r="I117" s="102">
        <f>SUMPRODUCT((Diário!$E$4:$E$2662='Analítico Cx.'!$B117)*(Diário!$B$4:$B$2662&gt;=I$4)*(Diário!$B$4:$B$2662&lt;=EOMONTH(I$4,0))*(Diário!$F$4:$F$2662))</f>
        <v>0</v>
      </c>
      <c r="J117" s="102">
        <f>SUMPRODUCT((Diário!$E$4:$E$2662='Analítico Cx.'!$B117)*(Diário!$B$4:$B$2662&gt;=J$4)*(Diário!$B$4:$B$2662&lt;=EOMONTH(J$4,0))*(Diário!$F$4:$F$2662))</f>
        <v>0</v>
      </c>
      <c r="K117" s="102">
        <f>SUMPRODUCT((Diário!$E$4:$E$2662='Analítico Cx.'!$B117)*(Diário!$B$4:$B$2662&gt;=K$4)*(Diário!$B$4:$B$2662&lt;=EOMONTH(K$4,0))*(Diário!$F$4:$F$2662))</f>
        <v>0</v>
      </c>
      <c r="L117" s="102">
        <f>SUMPRODUCT((Diário!$E$4:$E$2662='Analítico Cx.'!$B117)*(Diário!$B$4:$B$2662&gt;=L$4)*(Diário!$B$4:$B$2662&lt;=EOMONTH(L$4,0))*(Diário!$F$4:$F$2662))</f>
        <v>0</v>
      </c>
      <c r="M117" s="102">
        <f>SUMPRODUCT((Diário!$E$4:$E$2662='Analítico Cx.'!$B117)*(Diário!$B$4:$B$2662&gt;=M$4)*(Diário!$B$4:$B$2662&lt;=EOMONTH(M$4,0))*(Diário!$F$4:$F$2662))</f>
        <v>0</v>
      </c>
      <c r="N117" s="102">
        <f>SUMPRODUCT((Diário!$E$4:$E$2662='Analítico Cx.'!$B117)*(Diário!$B$4:$B$2662&gt;=N$4)*(Diário!$B$4:$B$2662&lt;=EOMONTH(N$4,0))*(Diário!$F$4:$F$2662))</f>
        <v>0</v>
      </c>
      <c r="O117" s="103">
        <f t="shared" si="19"/>
        <v>0</v>
      </c>
      <c r="P117" s="95">
        <f t="shared" si="20"/>
        <v>0</v>
      </c>
    </row>
    <row r="118" spans="1:16" ht="23.25" customHeight="1">
      <c r="A118" s="40" t="s">
        <v>205</v>
      </c>
      <c r="B118" s="60" t="s">
        <v>453</v>
      </c>
      <c r="C118" s="102">
        <f>SUMPRODUCT((Diário!$E$4:$E$2662='Analítico Cx.'!$B118)*(Diário!$B$4:$B$2662&gt;=C$4)*(Diário!$B$4:$B$2662&lt;=EOMONTH(C$4,0))*(Diário!$F$4:$F$2662))</f>
        <v>0</v>
      </c>
      <c r="D118" s="102">
        <f>SUMPRODUCT((Diário!$E$4:$E$2662='Analítico Cx.'!$B118)*(Diário!$B$4:$B$2662&gt;=D$4)*(Diário!$B$4:$B$2662&lt;=EOMONTH(D$4,0))*(Diário!$F$4:$F$2662))</f>
        <v>0</v>
      </c>
      <c r="E118" s="102">
        <f>SUMPRODUCT((Diário!$E$4:$E$2662='Analítico Cx.'!$B118)*(Diário!$B$4:$B$2662&gt;=E$4)*(Diário!$B$4:$B$2662&lt;=EOMONTH(E$4,0))*(Diário!$F$4:$F$2662))</f>
        <v>0</v>
      </c>
      <c r="F118" s="102">
        <f>SUMPRODUCT((Diário!$E$4:$E$2662='Analítico Cx.'!$B118)*(Diário!$B$4:$B$2662&gt;=F$4)*(Diário!$B$4:$B$2662&lt;=EOMONTH(F$4,0))*(Diário!$F$4:$F$2662))</f>
        <v>0</v>
      </c>
      <c r="G118" s="102">
        <f>SUMPRODUCT((Diário!$E$4:$E$2662='Analítico Cx.'!$B118)*(Diário!$B$4:$B$2662&gt;=G$4)*(Diário!$B$4:$B$2662&lt;=EOMONTH(G$4,0))*(Diário!$F$4:$F$2662))</f>
        <v>0</v>
      </c>
      <c r="H118" s="102">
        <f>SUMPRODUCT((Diário!$E$4:$E$2662='Analítico Cx.'!$B118)*(Diário!$B$4:$B$2662&gt;=H$4)*(Diário!$B$4:$B$2662&lt;=EOMONTH(H$4,0))*(Diário!$F$4:$F$2662))</f>
        <v>0</v>
      </c>
      <c r="I118" s="102">
        <f>SUMPRODUCT((Diário!$E$4:$E$2662='Analítico Cx.'!$B118)*(Diário!$B$4:$B$2662&gt;=I$4)*(Diário!$B$4:$B$2662&lt;=EOMONTH(I$4,0))*(Diário!$F$4:$F$2662))</f>
        <v>0</v>
      </c>
      <c r="J118" s="102">
        <f>SUMPRODUCT((Diário!$E$4:$E$2662='Analítico Cx.'!$B118)*(Diário!$B$4:$B$2662&gt;=J$4)*(Diário!$B$4:$B$2662&lt;=EOMONTH(J$4,0))*(Diário!$F$4:$F$2662))</f>
        <v>0</v>
      </c>
      <c r="K118" s="102">
        <f>SUMPRODUCT((Diário!$E$4:$E$2662='Analítico Cx.'!$B118)*(Diário!$B$4:$B$2662&gt;=K$4)*(Diário!$B$4:$B$2662&lt;=EOMONTH(K$4,0))*(Diário!$F$4:$F$2662))</f>
        <v>0</v>
      </c>
      <c r="L118" s="102">
        <f>SUMPRODUCT((Diário!$E$4:$E$2662='Analítico Cx.'!$B118)*(Diário!$B$4:$B$2662&gt;=L$4)*(Diário!$B$4:$B$2662&lt;=EOMONTH(L$4,0))*(Diário!$F$4:$F$2662))</f>
        <v>0</v>
      </c>
      <c r="M118" s="102">
        <f>SUMPRODUCT((Diário!$E$4:$E$2662='Analítico Cx.'!$B118)*(Diário!$B$4:$B$2662&gt;=M$4)*(Diário!$B$4:$B$2662&lt;=EOMONTH(M$4,0))*(Diário!$F$4:$F$2662))</f>
        <v>0</v>
      </c>
      <c r="N118" s="102">
        <f>SUMPRODUCT((Diário!$E$4:$E$2662='Analítico Cx.'!$B118)*(Diário!$B$4:$B$2662&gt;=N$4)*(Diário!$B$4:$B$2662&lt;=EOMONTH(N$4,0))*(Diário!$F$4:$F$2662))</f>
        <v>0</v>
      </c>
      <c r="O118" s="103">
        <f t="shared" si="19"/>
        <v>0</v>
      </c>
      <c r="P118" s="95">
        <f t="shared" si="20"/>
        <v>0</v>
      </c>
    </row>
    <row r="119" spans="1:16" ht="23.25" customHeight="1">
      <c r="A119" s="40" t="s">
        <v>507</v>
      </c>
      <c r="B119" s="60" t="s">
        <v>454</v>
      </c>
      <c r="C119" s="102">
        <f>SUMPRODUCT((Diário!$E$4:$E$2662='Analítico Cx.'!$B119)*(Diário!$B$4:$B$2662&gt;=C$4)*(Diário!$B$4:$B$2662&lt;=EOMONTH(C$4,0))*(Diário!$F$4:$F$2662))</f>
        <v>0</v>
      </c>
      <c r="D119" s="102">
        <f>SUMPRODUCT((Diário!$E$4:$E$2662='Analítico Cx.'!$B119)*(Diário!$B$4:$B$2662&gt;=D$4)*(Diário!$B$4:$B$2662&lt;=EOMONTH(D$4,0))*(Diário!$F$4:$F$2662))</f>
        <v>24900</v>
      </c>
      <c r="E119" s="102">
        <f>SUMPRODUCT((Diário!$E$4:$E$2662='Analítico Cx.'!$B119)*(Diário!$B$4:$B$2662&gt;=E$4)*(Diário!$B$4:$B$2662&lt;=EOMONTH(E$4,0))*(Diário!$F$4:$F$2662))</f>
        <v>24340</v>
      </c>
      <c r="F119" s="102">
        <f>SUMPRODUCT((Diário!$E$4:$E$2662='Analítico Cx.'!$B119)*(Diário!$B$4:$B$2662&gt;=F$4)*(Diário!$B$4:$B$2662&lt;=EOMONTH(F$4,0))*(Diário!$F$4:$F$2662))</f>
        <v>24920</v>
      </c>
      <c r="G119" s="102">
        <f>SUMPRODUCT((Diário!$E$4:$E$2662='Analítico Cx.'!$B119)*(Diário!$B$4:$B$2662&gt;=G$4)*(Diário!$B$4:$B$2662&lt;=EOMONTH(G$4,0))*(Diário!$F$4:$F$2662))</f>
        <v>26060</v>
      </c>
      <c r="H119" s="102">
        <f>SUMPRODUCT((Diário!$E$4:$E$2662='Analítico Cx.'!$B119)*(Diário!$B$4:$B$2662&gt;=H$4)*(Diário!$B$4:$B$2662&lt;=EOMONTH(H$4,0))*(Diário!$F$4:$F$2662))</f>
        <v>26060</v>
      </c>
      <c r="I119" s="102">
        <f>SUMPRODUCT((Diário!$E$4:$E$2662='Analítico Cx.'!$B119)*(Diário!$B$4:$B$2662&gt;=I$4)*(Diário!$B$4:$B$2662&lt;=EOMONTH(I$4,0))*(Diário!$F$4:$F$2662))</f>
        <v>0</v>
      </c>
      <c r="J119" s="102">
        <f>SUMPRODUCT((Diário!$E$4:$E$2662='Analítico Cx.'!$B119)*(Diário!$B$4:$B$2662&gt;=J$4)*(Diário!$B$4:$B$2662&lt;=EOMONTH(J$4,0))*(Diário!$F$4:$F$2662))</f>
        <v>0</v>
      </c>
      <c r="K119" s="102">
        <f>SUMPRODUCT((Diário!$E$4:$E$2662='Analítico Cx.'!$B119)*(Diário!$B$4:$B$2662&gt;=K$4)*(Diário!$B$4:$B$2662&lt;=EOMONTH(K$4,0))*(Diário!$F$4:$F$2662))</f>
        <v>0</v>
      </c>
      <c r="L119" s="102">
        <f>SUMPRODUCT((Diário!$E$4:$E$2662='Analítico Cx.'!$B119)*(Diário!$B$4:$B$2662&gt;=L$4)*(Diário!$B$4:$B$2662&lt;=EOMONTH(L$4,0))*(Diário!$F$4:$F$2662))</f>
        <v>0</v>
      </c>
      <c r="M119" s="102">
        <f>SUMPRODUCT((Diário!$E$4:$E$2662='Analítico Cx.'!$B119)*(Diário!$B$4:$B$2662&gt;=M$4)*(Diário!$B$4:$B$2662&lt;=EOMONTH(M$4,0))*(Diário!$F$4:$F$2662))</f>
        <v>0</v>
      </c>
      <c r="N119" s="102">
        <f>SUMPRODUCT((Diário!$E$4:$E$2662='Analítico Cx.'!$B119)*(Diário!$B$4:$B$2662&gt;=N$4)*(Diário!$B$4:$B$2662&lt;=EOMONTH(N$4,0))*(Diário!$F$4:$F$2662))</f>
        <v>0</v>
      </c>
      <c r="O119" s="103">
        <f t="shared" si="19"/>
        <v>126280</v>
      </c>
      <c r="P119" s="95">
        <f t="shared" si="20"/>
        <v>6.5206693211636709E-3</v>
      </c>
    </row>
    <row r="120" spans="1:16" ht="23.25" customHeight="1">
      <c r="A120" s="40" t="s">
        <v>508</v>
      </c>
      <c r="B120" s="60" t="s">
        <v>455</v>
      </c>
      <c r="C120" s="102">
        <f>SUMPRODUCT((Diário!$E$4:$E$2662='Analítico Cx.'!$B120)*(Diário!$B$4:$B$2662&gt;=C$4)*(Diário!$B$4:$B$2662&lt;=EOMONTH(C$4,0))*(Diário!$F$4:$F$2662))</f>
        <v>5496.61</v>
      </c>
      <c r="D120" s="102">
        <f>SUMPRODUCT((Diário!$E$4:$E$2662='Analítico Cx.'!$B120)*(Diário!$B$4:$B$2662&gt;=D$4)*(Diário!$B$4:$B$2662&lt;=EOMONTH(D$4,0))*(Diário!$F$4:$F$2662))</f>
        <v>0</v>
      </c>
      <c r="E120" s="102">
        <f>SUMPRODUCT((Diário!$E$4:$E$2662='Analítico Cx.'!$B120)*(Diário!$B$4:$B$2662&gt;=E$4)*(Diário!$B$4:$B$2662&lt;=EOMONTH(E$4,0))*(Diário!$F$4:$F$2662))</f>
        <v>51738.53</v>
      </c>
      <c r="F120" s="102">
        <f>SUMPRODUCT((Diário!$E$4:$E$2662='Analítico Cx.'!$B120)*(Diário!$B$4:$B$2662&gt;=F$4)*(Diário!$B$4:$B$2662&lt;=EOMONTH(F$4,0))*(Diário!$F$4:$F$2662))</f>
        <v>110878.41</v>
      </c>
      <c r="G120" s="102">
        <f>SUMPRODUCT((Diário!$E$4:$E$2662='Analítico Cx.'!$B120)*(Diário!$B$4:$B$2662&gt;=G$4)*(Diário!$B$4:$B$2662&lt;=EOMONTH(G$4,0))*(Diário!$F$4:$F$2662))</f>
        <v>62038.350000000006</v>
      </c>
      <c r="H120" s="102">
        <f>SUMPRODUCT((Diário!$E$4:$E$2662='Analítico Cx.'!$B120)*(Diário!$B$4:$B$2662&gt;=H$4)*(Diário!$B$4:$B$2662&lt;=EOMONTH(H$4,0))*(Diário!$F$4:$F$2662))</f>
        <v>16379.59</v>
      </c>
      <c r="I120" s="102">
        <f>SUMPRODUCT((Diário!$E$4:$E$2662='Analítico Cx.'!$B120)*(Diário!$B$4:$B$2662&gt;=I$4)*(Diário!$B$4:$B$2662&lt;=EOMONTH(I$4,0))*(Diário!$F$4:$F$2662))</f>
        <v>0</v>
      </c>
      <c r="J120" s="102">
        <f>SUMPRODUCT((Diário!$E$4:$E$2662='Analítico Cx.'!$B120)*(Diário!$B$4:$B$2662&gt;=J$4)*(Diário!$B$4:$B$2662&lt;=EOMONTH(J$4,0))*(Diário!$F$4:$F$2662))</f>
        <v>0</v>
      </c>
      <c r="K120" s="102">
        <f>SUMPRODUCT((Diário!$E$4:$E$2662='Analítico Cx.'!$B120)*(Diário!$B$4:$B$2662&gt;=K$4)*(Diário!$B$4:$B$2662&lt;=EOMONTH(K$4,0))*(Diário!$F$4:$F$2662))</f>
        <v>0</v>
      </c>
      <c r="L120" s="102">
        <f>SUMPRODUCT((Diário!$E$4:$E$2662='Analítico Cx.'!$B120)*(Diário!$B$4:$B$2662&gt;=L$4)*(Diário!$B$4:$B$2662&lt;=EOMONTH(L$4,0))*(Diário!$F$4:$F$2662))</f>
        <v>0</v>
      </c>
      <c r="M120" s="102">
        <f>SUMPRODUCT((Diário!$E$4:$E$2662='Analítico Cx.'!$B120)*(Diário!$B$4:$B$2662&gt;=M$4)*(Diário!$B$4:$B$2662&lt;=EOMONTH(M$4,0))*(Diário!$F$4:$F$2662))</f>
        <v>0</v>
      </c>
      <c r="N120" s="102">
        <f>SUMPRODUCT((Diário!$E$4:$E$2662='Analítico Cx.'!$B120)*(Diário!$B$4:$B$2662&gt;=N$4)*(Diário!$B$4:$B$2662&lt;=EOMONTH(N$4,0))*(Diário!$F$4:$F$2662))</f>
        <v>0</v>
      </c>
      <c r="O120" s="103">
        <f t="shared" si="19"/>
        <v>246531.49</v>
      </c>
      <c r="P120" s="95">
        <f t="shared" si="20"/>
        <v>1.2730046908012103E-2</v>
      </c>
    </row>
    <row r="121" spans="1:16" ht="23.25" customHeight="1">
      <c r="A121" s="40" t="s">
        <v>509</v>
      </c>
      <c r="B121" s="60" t="s">
        <v>456</v>
      </c>
      <c r="C121" s="102">
        <f>SUMPRODUCT((Diário!$E$4:$E$2662='Analítico Cx.'!$B121)*(Diário!$B$4:$B$2662&gt;=C$4)*(Diário!$B$4:$B$2662&lt;=EOMONTH(C$4,0))*(Diário!$F$4:$F$2662))</f>
        <v>0</v>
      </c>
      <c r="D121" s="102">
        <f>SUMPRODUCT((Diário!$E$4:$E$2662='Analítico Cx.'!$B121)*(Diário!$B$4:$B$2662&gt;=D$4)*(Diário!$B$4:$B$2662&lt;=EOMONTH(D$4,0))*(Diário!$F$4:$F$2662))</f>
        <v>0</v>
      </c>
      <c r="E121" s="102">
        <f>SUMPRODUCT((Diário!$E$4:$E$2662='Analítico Cx.'!$B121)*(Diário!$B$4:$B$2662&gt;=E$4)*(Diário!$B$4:$B$2662&lt;=EOMONTH(E$4,0))*(Diário!$F$4:$F$2662))</f>
        <v>0</v>
      </c>
      <c r="F121" s="102">
        <f>SUMPRODUCT((Diário!$E$4:$E$2662='Analítico Cx.'!$B121)*(Diário!$B$4:$B$2662&gt;=F$4)*(Diário!$B$4:$B$2662&lt;=EOMONTH(F$4,0))*(Diário!$F$4:$F$2662))</f>
        <v>0</v>
      </c>
      <c r="G121" s="102">
        <f>SUMPRODUCT((Diário!$E$4:$E$2662='Analítico Cx.'!$B121)*(Diário!$B$4:$B$2662&gt;=G$4)*(Diário!$B$4:$B$2662&lt;=EOMONTH(G$4,0))*(Diário!$F$4:$F$2662))</f>
        <v>0</v>
      </c>
      <c r="H121" s="102">
        <f>SUMPRODUCT((Diário!$E$4:$E$2662='Analítico Cx.'!$B121)*(Diário!$B$4:$B$2662&gt;=H$4)*(Diário!$B$4:$B$2662&lt;=EOMONTH(H$4,0))*(Diário!$F$4:$F$2662))</f>
        <v>0</v>
      </c>
      <c r="I121" s="102">
        <f>SUMPRODUCT((Diário!$E$4:$E$2662='Analítico Cx.'!$B121)*(Diário!$B$4:$B$2662&gt;=I$4)*(Diário!$B$4:$B$2662&lt;=EOMONTH(I$4,0))*(Diário!$F$4:$F$2662))</f>
        <v>0</v>
      </c>
      <c r="J121" s="102">
        <f>SUMPRODUCT((Diário!$E$4:$E$2662='Analítico Cx.'!$B121)*(Diário!$B$4:$B$2662&gt;=J$4)*(Diário!$B$4:$B$2662&lt;=EOMONTH(J$4,0))*(Diário!$F$4:$F$2662))</f>
        <v>0</v>
      </c>
      <c r="K121" s="102">
        <f>SUMPRODUCT((Diário!$E$4:$E$2662='Analítico Cx.'!$B121)*(Diário!$B$4:$B$2662&gt;=K$4)*(Diário!$B$4:$B$2662&lt;=EOMONTH(K$4,0))*(Diário!$F$4:$F$2662))</f>
        <v>0</v>
      </c>
      <c r="L121" s="102">
        <f>SUMPRODUCT((Diário!$E$4:$E$2662='Analítico Cx.'!$B121)*(Diário!$B$4:$B$2662&gt;=L$4)*(Diário!$B$4:$B$2662&lt;=EOMONTH(L$4,0))*(Diário!$F$4:$F$2662))</f>
        <v>0</v>
      </c>
      <c r="M121" s="102">
        <f>SUMPRODUCT((Diário!$E$4:$E$2662='Analítico Cx.'!$B121)*(Diário!$B$4:$B$2662&gt;=M$4)*(Diário!$B$4:$B$2662&lt;=EOMONTH(M$4,0))*(Diário!$F$4:$F$2662))</f>
        <v>0</v>
      </c>
      <c r="N121" s="102">
        <f>SUMPRODUCT((Diário!$E$4:$E$2662='Analítico Cx.'!$B121)*(Diário!$B$4:$B$2662&gt;=N$4)*(Diário!$B$4:$B$2662&lt;=EOMONTH(N$4,0))*(Diário!$F$4:$F$2662))</f>
        <v>0</v>
      </c>
      <c r="O121" s="103">
        <f t="shared" si="19"/>
        <v>0</v>
      </c>
      <c r="P121" s="95">
        <f t="shared" si="20"/>
        <v>0</v>
      </c>
    </row>
    <row r="122" spans="1:16" ht="23.25" customHeight="1">
      <c r="A122" s="40" t="s">
        <v>510</v>
      </c>
      <c r="B122" s="60" t="s">
        <v>457</v>
      </c>
      <c r="C122" s="102">
        <f>SUMPRODUCT((Diário!$E$4:$E$2662='Analítico Cx.'!$B122)*(Diário!$B$4:$B$2662&gt;=C$4)*(Diário!$B$4:$B$2662&lt;=EOMONTH(C$4,0))*(Diário!$F$4:$F$2662))</f>
        <v>25566.170000000002</v>
      </c>
      <c r="D122" s="102">
        <f>SUMPRODUCT((Diário!$E$4:$E$2662='Analítico Cx.'!$B122)*(Diário!$B$4:$B$2662&gt;=D$4)*(Diário!$B$4:$B$2662&lt;=EOMONTH(D$4,0))*(Diário!$F$4:$F$2662))</f>
        <v>143809.04</v>
      </c>
      <c r="E122" s="102">
        <f>SUMPRODUCT((Diário!$E$4:$E$2662='Analítico Cx.'!$B122)*(Diário!$B$4:$B$2662&gt;=E$4)*(Diário!$B$4:$B$2662&lt;=EOMONTH(E$4,0))*(Diário!$F$4:$F$2662))</f>
        <v>7729.27</v>
      </c>
      <c r="F122" s="102">
        <f>SUMPRODUCT((Diário!$E$4:$E$2662='Analítico Cx.'!$B122)*(Diário!$B$4:$B$2662&gt;=F$4)*(Diário!$B$4:$B$2662&lt;=EOMONTH(F$4,0))*(Diário!$F$4:$F$2662))</f>
        <v>118481.49</v>
      </c>
      <c r="G122" s="102">
        <f>SUMPRODUCT((Diário!$E$4:$E$2662='Analítico Cx.'!$B122)*(Diário!$B$4:$B$2662&gt;=G$4)*(Diário!$B$4:$B$2662&lt;=EOMONTH(G$4,0))*(Diário!$F$4:$F$2662))</f>
        <v>43324.13</v>
      </c>
      <c r="H122" s="102">
        <f>SUMPRODUCT((Diário!$E$4:$E$2662='Analítico Cx.'!$B122)*(Diário!$B$4:$B$2662&gt;=H$4)*(Diário!$B$4:$B$2662&lt;=EOMONTH(H$4,0))*(Diário!$F$4:$F$2662))</f>
        <v>126306.77000000003</v>
      </c>
      <c r="I122" s="102">
        <f>SUMPRODUCT((Diário!$E$4:$E$2662='Analítico Cx.'!$B122)*(Diário!$B$4:$B$2662&gt;=I$4)*(Diário!$B$4:$B$2662&lt;=EOMONTH(I$4,0))*(Diário!$F$4:$F$2662))</f>
        <v>0</v>
      </c>
      <c r="J122" s="102">
        <f>SUMPRODUCT((Diário!$E$4:$E$2662='Analítico Cx.'!$B122)*(Diário!$B$4:$B$2662&gt;=J$4)*(Diário!$B$4:$B$2662&lt;=EOMONTH(J$4,0))*(Diário!$F$4:$F$2662))</f>
        <v>0</v>
      </c>
      <c r="K122" s="102">
        <f>SUMPRODUCT((Diário!$E$4:$E$2662='Analítico Cx.'!$B122)*(Diário!$B$4:$B$2662&gt;=K$4)*(Diário!$B$4:$B$2662&lt;=EOMONTH(K$4,0))*(Diário!$F$4:$F$2662))</f>
        <v>0</v>
      </c>
      <c r="L122" s="102">
        <f>SUMPRODUCT((Diário!$E$4:$E$2662='Analítico Cx.'!$B122)*(Diário!$B$4:$B$2662&gt;=L$4)*(Diário!$B$4:$B$2662&lt;=EOMONTH(L$4,0))*(Diário!$F$4:$F$2662))</f>
        <v>0</v>
      </c>
      <c r="M122" s="102">
        <f>SUMPRODUCT((Diário!$E$4:$E$2662='Analítico Cx.'!$B122)*(Diário!$B$4:$B$2662&gt;=M$4)*(Diário!$B$4:$B$2662&lt;=EOMONTH(M$4,0))*(Diário!$F$4:$F$2662))</f>
        <v>0</v>
      </c>
      <c r="N122" s="102">
        <f>SUMPRODUCT((Diário!$E$4:$E$2662='Analítico Cx.'!$B122)*(Diário!$B$4:$B$2662&gt;=N$4)*(Diário!$B$4:$B$2662&lt;=EOMONTH(N$4,0))*(Diário!$F$4:$F$2662))</f>
        <v>0</v>
      </c>
      <c r="O122" s="103">
        <f t="shared" si="19"/>
        <v>465216.87000000005</v>
      </c>
      <c r="P122" s="95">
        <f t="shared" si="20"/>
        <v>2.4022215488571336E-2</v>
      </c>
    </row>
    <row r="123" spans="1:16" ht="23.25" customHeight="1">
      <c r="A123" s="40" t="s">
        <v>511</v>
      </c>
      <c r="B123" s="60" t="s">
        <v>458</v>
      </c>
      <c r="C123" s="102">
        <f>SUMPRODUCT((Diário!$E$4:$E$2662='Analítico Cx.'!$B123)*(Diário!$B$4:$B$2662&gt;=C$4)*(Diário!$B$4:$B$2662&lt;=EOMONTH(C$4,0))*(Diário!$F$4:$F$2662))</f>
        <v>0</v>
      </c>
      <c r="D123" s="102">
        <f>SUMPRODUCT((Diário!$E$4:$E$2662='Analítico Cx.'!$B123)*(Diário!$B$4:$B$2662&gt;=D$4)*(Diário!$B$4:$B$2662&lt;=EOMONTH(D$4,0))*(Diário!$F$4:$F$2662))</f>
        <v>1967.44</v>
      </c>
      <c r="E123" s="102">
        <f>SUMPRODUCT((Diário!$E$4:$E$2662='Analítico Cx.'!$B123)*(Diário!$B$4:$B$2662&gt;=E$4)*(Diário!$B$4:$B$2662&lt;=EOMONTH(E$4,0))*(Diário!$F$4:$F$2662))</f>
        <v>1981.88</v>
      </c>
      <c r="F123" s="102">
        <f>SUMPRODUCT((Diário!$E$4:$E$2662='Analítico Cx.'!$B123)*(Diário!$B$4:$B$2662&gt;=F$4)*(Diário!$B$4:$B$2662&lt;=EOMONTH(F$4,0))*(Diário!$F$4:$F$2662))</f>
        <v>2159.34</v>
      </c>
      <c r="G123" s="102">
        <f>SUMPRODUCT((Diário!$E$4:$E$2662='Analítico Cx.'!$B123)*(Diário!$B$4:$B$2662&gt;=G$4)*(Diário!$B$4:$B$2662&lt;=EOMONTH(G$4,0))*(Diário!$F$4:$F$2662))</f>
        <v>2058.64</v>
      </c>
      <c r="H123" s="102">
        <f>SUMPRODUCT((Diário!$E$4:$E$2662='Analítico Cx.'!$B123)*(Diário!$B$4:$B$2662&gt;=H$4)*(Diário!$B$4:$B$2662&lt;=EOMONTH(H$4,0))*(Diário!$F$4:$F$2662))</f>
        <v>2269.54</v>
      </c>
      <c r="I123" s="102">
        <f>SUMPRODUCT((Diário!$E$4:$E$2662='Analítico Cx.'!$B123)*(Diário!$B$4:$B$2662&gt;=I$4)*(Diário!$B$4:$B$2662&lt;=EOMONTH(I$4,0))*(Diário!$F$4:$F$2662))</f>
        <v>0</v>
      </c>
      <c r="J123" s="102">
        <f>SUMPRODUCT((Diário!$E$4:$E$2662='Analítico Cx.'!$B123)*(Diário!$B$4:$B$2662&gt;=J$4)*(Diário!$B$4:$B$2662&lt;=EOMONTH(J$4,0))*(Diário!$F$4:$F$2662))</f>
        <v>0</v>
      </c>
      <c r="K123" s="102">
        <f>SUMPRODUCT((Diário!$E$4:$E$2662='Analítico Cx.'!$B123)*(Diário!$B$4:$B$2662&gt;=K$4)*(Diário!$B$4:$B$2662&lt;=EOMONTH(K$4,0))*(Diário!$F$4:$F$2662))</f>
        <v>0</v>
      </c>
      <c r="L123" s="102">
        <f>SUMPRODUCT((Diário!$E$4:$E$2662='Analítico Cx.'!$B123)*(Diário!$B$4:$B$2662&gt;=L$4)*(Diário!$B$4:$B$2662&lt;=EOMONTH(L$4,0))*(Diário!$F$4:$F$2662))</f>
        <v>0</v>
      </c>
      <c r="M123" s="102">
        <f>SUMPRODUCT((Diário!$E$4:$E$2662='Analítico Cx.'!$B123)*(Diário!$B$4:$B$2662&gt;=M$4)*(Diário!$B$4:$B$2662&lt;=EOMONTH(M$4,0))*(Diário!$F$4:$F$2662))</f>
        <v>0</v>
      </c>
      <c r="N123" s="102">
        <f>SUMPRODUCT((Diário!$E$4:$E$2662='Analítico Cx.'!$B123)*(Diário!$B$4:$B$2662&gt;=N$4)*(Diário!$B$4:$B$2662&lt;=EOMONTH(N$4,0))*(Diário!$F$4:$F$2662))</f>
        <v>0</v>
      </c>
      <c r="O123" s="103">
        <f t="shared" si="19"/>
        <v>10436.84</v>
      </c>
      <c r="P123" s="95">
        <f t="shared" si="20"/>
        <v>5.3892288880182018E-4</v>
      </c>
    </row>
    <row r="124" spans="1:16" ht="23.25" customHeight="1">
      <c r="A124" s="40" t="s">
        <v>512</v>
      </c>
      <c r="B124" s="60" t="s">
        <v>459</v>
      </c>
      <c r="C124" s="102">
        <f>SUMPRODUCT((Diário!$E$4:$E$2662='Analítico Cx.'!$B124)*(Diário!$B$4:$B$2662&gt;=C$4)*(Diário!$B$4:$B$2662&lt;=EOMONTH(C$4,0))*(Diário!$F$4:$F$2662))</f>
        <v>168.13</v>
      </c>
      <c r="D124" s="102">
        <f>SUMPRODUCT((Diário!$E$4:$E$2662='Analítico Cx.'!$B124)*(Diário!$B$4:$B$2662&gt;=D$4)*(Diário!$B$4:$B$2662&lt;=EOMONTH(D$4,0))*(Diário!$F$4:$F$2662))</f>
        <v>0</v>
      </c>
      <c r="E124" s="102">
        <f>SUMPRODUCT((Diário!$E$4:$E$2662='Analítico Cx.'!$B124)*(Diário!$B$4:$B$2662&gt;=E$4)*(Diário!$B$4:$B$2662&lt;=EOMONTH(E$4,0))*(Diário!$F$4:$F$2662))</f>
        <v>0</v>
      </c>
      <c r="F124" s="102">
        <f>SUMPRODUCT((Diário!$E$4:$E$2662='Analítico Cx.'!$B124)*(Diário!$B$4:$B$2662&gt;=F$4)*(Diário!$B$4:$B$2662&lt;=EOMONTH(F$4,0))*(Diário!$F$4:$F$2662))</f>
        <v>372.9</v>
      </c>
      <c r="G124" s="102">
        <f>SUMPRODUCT((Diário!$E$4:$E$2662='Analítico Cx.'!$B124)*(Diário!$B$4:$B$2662&gt;=G$4)*(Diário!$B$4:$B$2662&lt;=EOMONTH(G$4,0))*(Diário!$F$4:$F$2662))</f>
        <v>0</v>
      </c>
      <c r="H124" s="102">
        <f>SUMPRODUCT((Diário!$E$4:$E$2662='Analítico Cx.'!$B124)*(Diário!$B$4:$B$2662&gt;=H$4)*(Diário!$B$4:$B$2662&lt;=EOMONTH(H$4,0))*(Diário!$F$4:$F$2662))</f>
        <v>0</v>
      </c>
      <c r="I124" s="102">
        <f>SUMPRODUCT((Diário!$E$4:$E$2662='Analítico Cx.'!$B124)*(Diário!$B$4:$B$2662&gt;=I$4)*(Diário!$B$4:$B$2662&lt;=EOMONTH(I$4,0))*(Diário!$F$4:$F$2662))</f>
        <v>0</v>
      </c>
      <c r="J124" s="102">
        <f>SUMPRODUCT((Diário!$E$4:$E$2662='Analítico Cx.'!$B124)*(Diário!$B$4:$B$2662&gt;=J$4)*(Diário!$B$4:$B$2662&lt;=EOMONTH(J$4,0))*(Diário!$F$4:$F$2662))</f>
        <v>0</v>
      </c>
      <c r="K124" s="102">
        <f>SUMPRODUCT((Diário!$E$4:$E$2662='Analítico Cx.'!$B124)*(Diário!$B$4:$B$2662&gt;=K$4)*(Diário!$B$4:$B$2662&lt;=EOMONTH(K$4,0))*(Diário!$F$4:$F$2662))</f>
        <v>0</v>
      </c>
      <c r="L124" s="102">
        <f>SUMPRODUCT((Diário!$E$4:$E$2662='Analítico Cx.'!$B124)*(Diário!$B$4:$B$2662&gt;=L$4)*(Diário!$B$4:$B$2662&lt;=EOMONTH(L$4,0))*(Diário!$F$4:$F$2662))</f>
        <v>0</v>
      </c>
      <c r="M124" s="102">
        <f>SUMPRODUCT((Diário!$E$4:$E$2662='Analítico Cx.'!$B124)*(Diário!$B$4:$B$2662&gt;=M$4)*(Diário!$B$4:$B$2662&lt;=EOMONTH(M$4,0))*(Diário!$F$4:$F$2662))</f>
        <v>0</v>
      </c>
      <c r="N124" s="102">
        <f>SUMPRODUCT((Diário!$E$4:$E$2662='Analítico Cx.'!$B124)*(Diário!$B$4:$B$2662&gt;=N$4)*(Diário!$B$4:$B$2662&lt;=EOMONTH(N$4,0))*(Diário!$F$4:$F$2662))</f>
        <v>0</v>
      </c>
      <c r="O124" s="103">
        <f t="shared" si="19"/>
        <v>541.03</v>
      </c>
      <c r="P124" s="95">
        <f t="shared" si="20"/>
        <v>2.7936947440839252E-5</v>
      </c>
    </row>
    <row r="125" spans="1:16" ht="23.25" customHeight="1">
      <c r="A125" s="40" t="s">
        <v>513</v>
      </c>
      <c r="B125" s="60" t="s">
        <v>460</v>
      </c>
      <c r="C125" s="102">
        <f>SUMPRODUCT((Diário!$E$4:$E$2662='Analítico Cx.'!$B125)*(Diário!$B$4:$B$2662&gt;=C$4)*(Diário!$B$4:$B$2662&lt;=EOMONTH(C$4,0))*(Diário!$F$4:$F$2662))</f>
        <v>0</v>
      </c>
      <c r="D125" s="102">
        <f>SUMPRODUCT((Diário!$E$4:$E$2662='Analítico Cx.'!$B125)*(Diário!$B$4:$B$2662&gt;=D$4)*(Diário!$B$4:$B$2662&lt;=EOMONTH(D$4,0))*(Diário!$F$4:$F$2662))</f>
        <v>8550</v>
      </c>
      <c r="E125" s="102">
        <f>SUMPRODUCT((Diário!$E$4:$E$2662='Analítico Cx.'!$B125)*(Diário!$B$4:$B$2662&gt;=E$4)*(Diário!$B$4:$B$2662&lt;=EOMONTH(E$4,0))*(Diário!$F$4:$F$2662))</f>
        <v>450</v>
      </c>
      <c r="F125" s="102">
        <f>SUMPRODUCT((Diário!$E$4:$E$2662='Analítico Cx.'!$B125)*(Diário!$B$4:$B$2662&gt;=F$4)*(Diário!$B$4:$B$2662&lt;=EOMONTH(F$4,0))*(Diário!$F$4:$F$2662))</f>
        <v>8550</v>
      </c>
      <c r="G125" s="102">
        <f>SUMPRODUCT((Diário!$E$4:$E$2662='Analítico Cx.'!$B125)*(Diário!$B$4:$B$2662&gt;=G$4)*(Diário!$B$4:$B$2662&lt;=EOMONTH(G$4,0))*(Diário!$F$4:$F$2662))</f>
        <v>30594.400000000001</v>
      </c>
      <c r="H125" s="102">
        <f>SUMPRODUCT((Diário!$E$4:$E$2662='Analítico Cx.'!$B125)*(Diário!$B$4:$B$2662&gt;=H$4)*(Diário!$B$4:$B$2662&lt;=EOMONTH(H$4,0))*(Diário!$F$4:$F$2662))</f>
        <v>17698.400000000001</v>
      </c>
      <c r="I125" s="102">
        <f>SUMPRODUCT((Diário!$E$4:$E$2662='Analítico Cx.'!$B125)*(Diário!$B$4:$B$2662&gt;=I$4)*(Diário!$B$4:$B$2662&lt;=EOMONTH(I$4,0))*(Diário!$F$4:$F$2662))</f>
        <v>0</v>
      </c>
      <c r="J125" s="102">
        <f>SUMPRODUCT((Diário!$E$4:$E$2662='Analítico Cx.'!$B125)*(Diário!$B$4:$B$2662&gt;=J$4)*(Diário!$B$4:$B$2662&lt;=EOMONTH(J$4,0))*(Diário!$F$4:$F$2662))</f>
        <v>0</v>
      </c>
      <c r="K125" s="102">
        <f>SUMPRODUCT((Diário!$E$4:$E$2662='Analítico Cx.'!$B125)*(Diário!$B$4:$B$2662&gt;=K$4)*(Diário!$B$4:$B$2662&lt;=EOMONTH(K$4,0))*(Diário!$F$4:$F$2662))</f>
        <v>0</v>
      </c>
      <c r="L125" s="102">
        <f>SUMPRODUCT((Diário!$E$4:$E$2662='Analítico Cx.'!$B125)*(Diário!$B$4:$B$2662&gt;=L$4)*(Diário!$B$4:$B$2662&lt;=EOMONTH(L$4,0))*(Diário!$F$4:$F$2662))</f>
        <v>0</v>
      </c>
      <c r="M125" s="102">
        <f>SUMPRODUCT((Diário!$E$4:$E$2662='Analítico Cx.'!$B125)*(Diário!$B$4:$B$2662&gt;=M$4)*(Diário!$B$4:$B$2662&lt;=EOMONTH(M$4,0))*(Diário!$F$4:$F$2662))</f>
        <v>0</v>
      </c>
      <c r="N125" s="102">
        <f>SUMPRODUCT((Diário!$E$4:$E$2662='Analítico Cx.'!$B125)*(Diário!$B$4:$B$2662&gt;=N$4)*(Diário!$B$4:$B$2662&lt;=EOMONTH(N$4,0))*(Diário!$F$4:$F$2662))</f>
        <v>0</v>
      </c>
      <c r="O125" s="103">
        <f t="shared" si="19"/>
        <v>65842.8</v>
      </c>
      <c r="P125" s="95">
        <f t="shared" si="20"/>
        <v>3.3998980517858362E-3</v>
      </c>
    </row>
    <row r="126" spans="1:16" ht="23.25" customHeight="1">
      <c r="A126" s="40" t="s">
        <v>514</v>
      </c>
      <c r="B126" s="60" t="s">
        <v>461</v>
      </c>
      <c r="C126" s="102">
        <f>SUMPRODUCT((Diário!$E$4:$E$2662='Analítico Cx.'!$B126)*(Diário!$B$4:$B$2662&gt;=C$4)*(Diário!$B$4:$B$2662&lt;=EOMONTH(C$4,0))*(Diário!$F$4:$F$2662))</f>
        <v>50776.909999999996</v>
      </c>
      <c r="D126" s="102">
        <f>SUMPRODUCT((Diário!$E$4:$E$2662='Analítico Cx.'!$B126)*(Diário!$B$4:$B$2662&gt;=D$4)*(Diário!$B$4:$B$2662&lt;=EOMONTH(D$4,0))*(Diário!$F$4:$F$2662))</f>
        <v>256.02999999999997</v>
      </c>
      <c r="E126" s="102">
        <f>SUMPRODUCT((Diário!$E$4:$E$2662='Analítico Cx.'!$B126)*(Diário!$B$4:$B$2662&gt;=E$4)*(Diário!$B$4:$B$2662&lt;=EOMONTH(E$4,0))*(Diário!$F$4:$F$2662))</f>
        <v>16840.61</v>
      </c>
      <c r="F126" s="102">
        <f>SUMPRODUCT((Diário!$E$4:$E$2662='Analítico Cx.'!$B126)*(Diário!$B$4:$B$2662&gt;=F$4)*(Diário!$B$4:$B$2662&lt;=EOMONTH(F$4,0))*(Diário!$F$4:$F$2662))</f>
        <v>18176.510000000002</v>
      </c>
      <c r="G126" s="102">
        <f>SUMPRODUCT((Diário!$E$4:$E$2662='Analítico Cx.'!$B126)*(Diário!$B$4:$B$2662&gt;=G$4)*(Diário!$B$4:$B$2662&lt;=EOMONTH(G$4,0))*(Diário!$F$4:$F$2662))</f>
        <v>8751.6600000000017</v>
      </c>
      <c r="H126" s="102">
        <f>SUMPRODUCT((Diário!$E$4:$E$2662='Analítico Cx.'!$B126)*(Diário!$B$4:$B$2662&gt;=H$4)*(Diário!$B$4:$B$2662&lt;=EOMONTH(H$4,0))*(Diário!$F$4:$F$2662))</f>
        <v>8381.07</v>
      </c>
      <c r="I126" s="102">
        <f>SUMPRODUCT((Diário!$E$4:$E$2662='Analítico Cx.'!$B126)*(Diário!$B$4:$B$2662&gt;=I$4)*(Diário!$B$4:$B$2662&lt;=EOMONTH(I$4,0))*(Diário!$F$4:$F$2662))</f>
        <v>0</v>
      </c>
      <c r="J126" s="102">
        <f>SUMPRODUCT((Diário!$E$4:$E$2662='Analítico Cx.'!$B126)*(Diário!$B$4:$B$2662&gt;=J$4)*(Diário!$B$4:$B$2662&lt;=EOMONTH(J$4,0))*(Diário!$F$4:$F$2662))</f>
        <v>0</v>
      </c>
      <c r="K126" s="102">
        <f>SUMPRODUCT((Diário!$E$4:$E$2662='Analítico Cx.'!$B126)*(Diário!$B$4:$B$2662&gt;=K$4)*(Diário!$B$4:$B$2662&lt;=EOMONTH(K$4,0))*(Diário!$F$4:$F$2662))</f>
        <v>0</v>
      </c>
      <c r="L126" s="102">
        <f>SUMPRODUCT((Diário!$E$4:$E$2662='Analítico Cx.'!$B126)*(Diário!$B$4:$B$2662&gt;=L$4)*(Diário!$B$4:$B$2662&lt;=EOMONTH(L$4,0))*(Diário!$F$4:$F$2662))</f>
        <v>0</v>
      </c>
      <c r="M126" s="102">
        <f>SUMPRODUCT((Diário!$E$4:$E$2662='Analítico Cx.'!$B126)*(Diário!$B$4:$B$2662&gt;=M$4)*(Diário!$B$4:$B$2662&lt;=EOMONTH(M$4,0))*(Diário!$F$4:$F$2662))</f>
        <v>0</v>
      </c>
      <c r="N126" s="102">
        <f>SUMPRODUCT((Diário!$E$4:$E$2662='Analítico Cx.'!$B126)*(Diário!$B$4:$B$2662&gt;=N$4)*(Diário!$B$4:$B$2662&lt;=EOMONTH(N$4,0))*(Diário!$F$4:$F$2662))</f>
        <v>0</v>
      </c>
      <c r="O126" s="103">
        <f t="shared" si="19"/>
        <v>103182.79000000001</v>
      </c>
      <c r="P126" s="95">
        <f t="shared" si="20"/>
        <v>5.3280080236385308E-3</v>
      </c>
    </row>
    <row r="127" spans="1:16" ht="23.25" customHeight="1">
      <c r="A127" s="40" t="s">
        <v>515</v>
      </c>
      <c r="B127" s="60" t="s">
        <v>462</v>
      </c>
      <c r="C127" s="102">
        <f>SUMPRODUCT((Diário!$E$4:$E$2662='Analítico Cx.'!$B127)*(Diário!$B$4:$B$2662&gt;=C$4)*(Diário!$B$4:$B$2662&lt;=EOMONTH(C$4,0))*(Diário!$F$4:$F$2662))</f>
        <v>55.5</v>
      </c>
      <c r="D127" s="102">
        <f>SUMPRODUCT((Diário!$E$4:$E$2662='Analítico Cx.'!$B127)*(Diário!$B$4:$B$2662&gt;=D$4)*(Diário!$B$4:$B$2662&lt;=EOMONTH(D$4,0))*(Diário!$F$4:$F$2662))</f>
        <v>0</v>
      </c>
      <c r="E127" s="102">
        <f>SUMPRODUCT((Diário!$E$4:$E$2662='Analítico Cx.'!$B127)*(Diário!$B$4:$B$2662&gt;=E$4)*(Diário!$B$4:$B$2662&lt;=EOMONTH(E$4,0))*(Diário!$F$4:$F$2662))</f>
        <v>1261</v>
      </c>
      <c r="F127" s="102">
        <f>SUMPRODUCT((Diário!$E$4:$E$2662='Analítico Cx.'!$B127)*(Diário!$B$4:$B$2662&gt;=F$4)*(Diário!$B$4:$B$2662&lt;=EOMONTH(F$4,0))*(Diário!$F$4:$F$2662))</f>
        <v>39</v>
      </c>
      <c r="G127" s="102">
        <f>SUMPRODUCT((Diário!$E$4:$E$2662='Analítico Cx.'!$B127)*(Diário!$B$4:$B$2662&gt;=G$4)*(Diário!$B$4:$B$2662&lt;=EOMONTH(G$4,0))*(Diário!$F$4:$F$2662))</f>
        <v>2255</v>
      </c>
      <c r="H127" s="102">
        <f>SUMPRODUCT((Diário!$E$4:$E$2662='Analítico Cx.'!$B127)*(Diário!$B$4:$B$2662&gt;=H$4)*(Diário!$B$4:$B$2662&lt;=EOMONTH(H$4,0))*(Diário!$F$4:$F$2662))</f>
        <v>5321</v>
      </c>
      <c r="I127" s="102">
        <f>SUMPRODUCT((Diário!$E$4:$E$2662='Analítico Cx.'!$B127)*(Diário!$B$4:$B$2662&gt;=I$4)*(Diário!$B$4:$B$2662&lt;=EOMONTH(I$4,0))*(Diário!$F$4:$F$2662))</f>
        <v>0</v>
      </c>
      <c r="J127" s="102">
        <f>SUMPRODUCT((Diário!$E$4:$E$2662='Analítico Cx.'!$B127)*(Diário!$B$4:$B$2662&gt;=J$4)*(Diário!$B$4:$B$2662&lt;=EOMONTH(J$4,0))*(Diário!$F$4:$F$2662))</f>
        <v>0</v>
      </c>
      <c r="K127" s="102">
        <f>SUMPRODUCT((Diário!$E$4:$E$2662='Analítico Cx.'!$B127)*(Diário!$B$4:$B$2662&gt;=K$4)*(Diário!$B$4:$B$2662&lt;=EOMONTH(K$4,0))*(Diário!$F$4:$F$2662))</f>
        <v>0</v>
      </c>
      <c r="L127" s="102">
        <f>SUMPRODUCT((Diário!$E$4:$E$2662='Analítico Cx.'!$B127)*(Diário!$B$4:$B$2662&gt;=L$4)*(Diário!$B$4:$B$2662&lt;=EOMONTH(L$4,0))*(Diário!$F$4:$F$2662))</f>
        <v>0</v>
      </c>
      <c r="M127" s="102">
        <f>SUMPRODUCT((Diário!$E$4:$E$2662='Analítico Cx.'!$B127)*(Diário!$B$4:$B$2662&gt;=M$4)*(Diário!$B$4:$B$2662&lt;=EOMONTH(M$4,0))*(Diário!$F$4:$F$2662))</f>
        <v>0</v>
      </c>
      <c r="N127" s="102">
        <f>SUMPRODUCT((Diário!$E$4:$E$2662='Analítico Cx.'!$B127)*(Diário!$B$4:$B$2662&gt;=N$4)*(Diário!$B$4:$B$2662&lt;=EOMONTH(N$4,0))*(Diário!$F$4:$F$2662))</f>
        <v>0</v>
      </c>
      <c r="O127" s="103">
        <f t="shared" si="19"/>
        <v>8931.5</v>
      </c>
      <c r="P127" s="95">
        <f t="shared" si="20"/>
        <v>4.6119225563805296E-4</v>
      </c>
    </row>
    <row r="128" spans="1:16" ht="23.25" customHeight="1">
      <c r="A128" s="40" t="s">
        <v>516</v>
      </c>
      <c r="B128" s="60" t="s">
        <v>463</v>
      </c>
      <c r="C128" s="102">
        <f>SUMPRODUCT((Diário!$E$4:$E$2662='Analítico Cx.'!$B128)*(Diário!$B$4:$B$2662&gt;=C$4)*(Diário!$B$4:$B$2662&lt;=EOMONTH(C$4,0))*(Diário!$F$4:$F$2662))</f>
        <v>1330</v>
      </c>
      <c r="D128" s="102">
        <f>SUMPRODUCT((Diário!$E$4:$E$2662='Analítico Cx.'!$B128)*(Diário!$B$4:$B$2662&gt;=D$4)*(Diário!$B$4:$B$2662&lt;=EOMONTH(D$4,0))*(Diário!$F$4:$F$2662))</f>
        <v>24521.93</v>
      </c>
      <c r="E128" s="102">
        <f>SUMPRODUCT((Diário!$E$4:$E$2662='Analítico Cx.'!$B128)*(Diário!$B$4:$B$2662&gt;=E$4)*(Diário!$B$4:$B$2662&lt;=EOMONTH(E$4,0))*(Diário!$F$4:$F$2662))</f>
        <v>1799.87</v>
      </c>
      <c r="F128" s="102">
        <f>SUMPRODUCT((Diário!$E$4:$E$2662='Analítico Cx.'!$B128)*(Diário!$B$4:$B$2662&gt;=F$4)*(Diário!$B$4:$B$2662&lt;=EOMONTH(F$4,0))*(Diário!$F$4:$F$2662))</f>
        <v>13160.900000000001</v>
      </c>
      <c r="G128" s="102">
        <f>SUMPRODUCT((Diário!$E$4:$E$2662='Analítico Cx.'!$B128)*(Diário!$B$4:$B$2662&gt;=G$4)*(Diário!$B$4:$B$2662&lt;=EOMONTH(G$4,0))*(Diário!$F$4:$F$2662))</f>
        <v>13160.900000000001</v>
      </c>
      <c r="H128" s="102">
        <f>SUMPRODUCT((Diário!$E$4:$E$2662='Analítico Cx.'!$B128)*(Diário!$B$4:$B$2662&gt;=H$4)*(Diário!$B$4:$B$2662&lt;=EOMONTH(H$4,0))*(Diário!$F$4:$F$2662))</f>
        <v>13160.900000000001</v>
      </c>
      <c r="I128" s="102">
        <f>SUMPRODUCT((Diário!$E$4:$E$2662='Analítico Cx.'!$B128)*(Diário!$B$4:$B$2662&gt;=I$4)*(Diário!$B$4:$B$2662&lt;=EOMONTH(I$4,0))*(Diário!$F$4:$F$2662))</f>
        <v>0</v>
      </c>
      <c r="J128" s="102">
        <f>SUMPRODUCT((Diário!$E$4:$E$2662='Analítico Cx.'!$B128)*(Diário!$B$4:$B$2662&gt;=J$4)*(Diário!$B$4:$B$2662&lt;=EOMONTH(J$4,0))*(Diário!$F$4:$F$2662))</f>
        <v>0</v>
      </c>
      <c r="K128" s="102">
        <f>SUMPRODUCT((Diário!$E$4:$E$2662='Analítico Cx.'!$B128)*(Diário!$B$4:$B$2662&gt;=K$4)*(Diário!$B$4:$B$2662&lt;=EOMONTH(K$4,0))*(Diário!$F$4:$F$2662))</f>
        <v>0</v>
      </c>
      <c r="L128" s="102">
        <f>SUMPRODUCT((Diário!$E$4:$E$2662='Analítico Cx.'!$B128)*(Diário!$B$4:$B$2662&gt;=L$4)*(Diário!$B$4:$B$2662&lt;=EOMONTH(L$4,0))*(Diário!$F$4:$F$2662))</f>
        <v>0</v>
      </c>
      <c r="M128" s="102">
        <f>SUMPRODUCT((Diário!$E$4:$E$2662='Analítico Cx.'!$B128)*(Diário!$B$4:$B$2662&gt;=M$4)*(Diário!$B$4:$B$2662&lt;=EOMONTH(M$4,0))*(Diário!$F$4:$F$2662))</f>
        <v>0</v>
      </c>
      <c r="N128" s="102">
        <f>SUMPRODUCT((Diário!$E$4:$E$2662='Analítico Cx.'!$B128)*(Diário!$B$4:$B$2662&gt;=N$4)*(Diário!$B$4:$B$2662&lt;=EOMONTH(N$4,0))*(Diário!$F$4:$F$2662))</f>
        <v>0</v>
      </c>
      <c r="O128" s="103">
        <f t="shared" si="19"/>
        <v>67134.5</v>
      </c>
      <c r="P128" s="95">
        <f t="shared" si="20"/>
        <v>3.4665970426169027E-3</v>
      </c>
    </row>
    <row r="129" spans="1:16" ht="23.25" customHeight="1">
      <c r="A129" s="40" t="s">
        <v>517</v>
      </c>
      <c r="B129" s="60" t="s">
        <v>464</v>
      </c>
      <c r="C129" s="102">
        <f>SUMPRODUCT((Diário!$E$4:$E$2662='Analítico Cx.'!$B129)*(Diário!$B$4:$B$2662&gt;=C$4)*(Diário!$B$4:$B$2662&lt;=EOMONTH(C$4,0))*(Diário!$F$4:$F$2662))</f>
        <v>0</v>
      </c>
      <c r="D129" s="102">
        <f>SUMPRODUCT((Diário!$E$4:$E$2662='Analítico Cx.'!$B129)*(Diário!$B$4:$B$2662&gt;=D$4)*(Diário!$B$4:$B$2662&lt;=EOMONTH(D$4,0))*(Diário!$F$4:$F$2662))</f>
        <v>0</v>
      </c>
      <c r="E129" s="102">
        <f>SUMPRODUCT((Diário!$E$4:$E$2662='Analítico Cx.'!$B129)*(Diário!$B$4:$B$2662&gt;=E$4)*(Diário!$B$4:$B$2662&lt;=EOMONTH(E$4,0))*(Diário!$F$4:$F$2662))</f>
        <v>0</v>
      </c>
      <c r="F129" s="102">
        <f>SUMPRODUCT((Diário!$E$4:$E$2662='Analítico Cx.'!$B129)*(Diário!$B$4:$B$2662&gt;=F$4)*(Diário!$B$4:$B$2662&lt;=EOMONTH(F$4,0))*(Diário!$F$4:$F$2662))</f>
        <v>0</v>
      </c>
      <c r="G129" s="102">
        <f>SUMPRODUCT((Diário!$E$4:$E$2662='Analítico Cx.'!$B129)*(Diário!$B$4:$B$2662&gt;=G$4)*(Diário!$B$4:$B$2662&lt;=EOMONTH(G$4,0))*(Diário!$F$4:$F$2662))</f>
        <v>0</v>
      </c>
      <c r="H129" s="102">
        <f>SUMPRODUCT((Diário!$E$4:$E$2662='Analítico Cx.'!$B129)*(Diário!$B$4:$B$2662&gt;=H$4)*(Diário!$B$4:$B$2662&lt;=EOMONTH(H$4,0))*(Diário!$F$4:$F$2662))</f>
        <v>0</v>
      </c>
      <c r="I129" s="102">
        <f>SUMPRODUCT((Diário!$E$4:$E$2662='Analítico Cx.'!$B129)*(Diário!$B$4:$B$2662&gt;=I$4)*(Diário!$B$4:$B$2662&lt;=EOMONTH(I$4,0))*(Diário!$F$4:$F$2662))</f>
        <v>0</v>
      </c>
      <c r="J129" s="102">
        <f>SUMPRODUCT((Diário!$E$4:$E$2662='Analítico Cx.'!$B129)*(Diário!$B$4:$B$2662&gt;=J$4)*(Diário!$B$4:$B$2662&lt;=EOMONTH(J$4,0))*(Diário!$F$4:$F$2662))</f>
        <v>0</v>
      </c>
      <c r="K129" s="102">
        <f>SUMPRODUCT((Diário!$E$4:$E$2662='Analítico Cx.'!$B129)*(Diário!$B$4:$B$2662&gt;=K$4)*(Diário!$B$4:$B$2662&lt;=EOMONTH(K$4,0))*(Diário!$F$4:$F$2662))</f>
        <v>0</v>
      </c>
      <c r="L129" s="102">
        <f>SUMPRODUCT((Diário!$E$4:$E$2662='Analítico Cx.'!$B129)*(Diário!$B$4:$B$2662&gt;=L$4)*(Diário!$B$4:$B$2662&lt;=EOMONTH(L$4,0))*(Diário!$F$4:$F$2662))</f>
        <v>0</v>
      </c>
      <c r="M129" s="102">
        <f>SUMPRODUCT((Diário!$E$4:$E$2662='Analítico Cx.'!$B129)*(Diário!$B$4:$B$2662&gt;=M$4)*(Diário!$B$4:$B$2662&lt;=EOMONTH(M$4,0))*(Diário!$F$4:$F$2662))</f>
        <v>0</v>
      </c>
      <c r="N129" s="102">
        <f>SUMPRODUCT((Diário!$E$4:$E$2662='Analítico Cx.'!$B129)*(Diário!$B$4:$B$2662&gt;=N$4)*(Diário!$B$4:$B$2662&lt;=EOMONTH(N$4,0))*(Diário!$F$4:$F$2662))</f>
        <v>0</v>
      </c>
      <c r="O129" s="103">
        <f t="shared" si="19"/>
        <v>0</v>
      </c>
      <c r="P129" s="95">
        <f t="shared" si="20"/>
        <v>0</v>
      </c>
    </row>
    <row r="130" spans="1:16" ht="23.25" customHeight="1">
      <c r="A130" s="40" t="s">
        <v>518</v>
      </c>
      <c r="B130" s="60" t="s">
        <v>465</v>
      </c>
      <c r="C130" s="102">
        <f>SUMPRODUCT((Diário!$E$4:$E$2662='Analítico Cx.'!$B130)*(Diário!$B$4:$B$2662&gt;=C$4)*(Diário!$B$4:$B$2662&lt;=EOMONTH(C$4,0))*(Diário!$F$4:$F$2662))</f>
        <v>7733.34</v>
      </c>
      <c r="D130" s="102">
        <f>SUMPRODUCT((Diário!$E$4:$E$2662='Analítico Cx.'!$B130)*(Diário!$B$4:$B$2662&gt;=D$4)*(Diário!$B$4:$B$2662&lt;=EOMONTH(D$4,0))*(Diário!$F$4:$F$2662))</f>
        <v>15249.53</v>
      </c>
      <c r="E130" s="102">
        <f>SUMPRODUCT((Diário!$E$4:$E$2662='Analítico Cx.'!$B130)*(Diário!$B$4:$B$2662&gt;=E$4)*(Diário!$B$4:$B$2662&lt;=EOMONTH(E$4,0))*(Diário!$F$4:$F$2662))</f>
        <v>7091.43</v>
      </c>
      <c r="F130" s="102">
        <f>SUMPRODUCT((Diário!$E$4:$E$2662='Analítico Cx.'!$B130)*(Diário!$B$4:$B$2662&gt;=F$4)*(Diário!$B$4:$B$2662&lt;=EOMONTH(F$4,0))*(Diário!$F$4:$F$2662))</f>
        <v>7091.43</v>
      </c>
      <c r="G130" s="102">
        <f>SUMPRODUCT((Diário!$E$4:$E$2662='Analítico Cx.'!$B130)*(Diário!$B$4:$B$2662&gt;=G$4)*(Diário!$B$4:$B$2662&lt;=EOMONTH(G$4,0))*(Diário!$F$4:$F$2662))</f>
        <v>7091.43</v>
      </c>
      <c r="H130" s="102">
        <f>SUMPRODUCT((Diário!$E$4:$E$2662='Analítico Cx.'!$B130)*(Diário!$B$4:$B$2662&gt;=H$4)*(Diário!$B$4:$B$2662&lt;=EOMONTH(H$4,0))*(Diário!$F$4:$F$2662))</f>
        <v>14041.43</v>
      </c>
      <c r="I130" s="102">
        <f>SUMPRODUCT((Diário!$E$4:$E$2662='Analítico Cx.'!$B130)*(Diário!$B$4:$B$2662&gt;=I$4)*(Diário!$B$4:$B$2662&lt;=EOMONTH(I$4,0))*(Diário!$F$4:$F$2662))</f>
        <v>0</v>
      </c>
      <c r="J130" s="102">
        <f>SUMPRODUCT((Diário!$E$4:$E$2662='Analítico Cx.'!$B130)*(Diário!$B$4:$B$2662&gt;=J$4)*(Diário!$B$4:$B$2662&lt;=EOMONTH(J$4,0))*(Diário!$F$4:$F$2662))</f>
        <v>0</v>
      </c>
      <c r="K130" s="102">
        <f>SUMPRODUCT((Diário!$E$4:$E$2662='Analítico Cx.'!$B130)*(Diário!$B$4:$B$2662&gt;=K$4)*(Diário!$B$4:$B$2662&lt;=EOMONTH(K$4,0))*(Diário!$F$4:$F$2662))</f>
        <v>0</v>
      </c>
      <c r="L130" s="102">
        <f>SUMPRODUCT((Diário!$E$4:$E$2662='Analítico Cx.'!$B130)*(Diário!$B$4:$B$2662&gt;=L$4)*(Diário!$B$4:$B$2662&lt;=EOMONTH(L$4,0))*(Diário!$F$4:$F$2662))</f>
        <v>0</v>
      </c>
      <c r="M130" s="102">
        <f>SUMPRODUCT((Diário!$E$4:$E$2662='Analítico Cx.'!$B130)*(Diário!$B$4:$B$2662&gt;=M$4)*(Diário!$B$4:$B$2662&lt;=EOMONTH(M$4,0))*(Diário!$F$4:$F$2662))</f>
        <v>0</v>
      </c>
      <c r="N130" s="102">
        <f>SUMPRODUCT((Diário!$E$4:$E$2662='Analítico Cx.'!$B130)*(Diário!$B$4:$B$2662&gt;=N$4)*(Diário!$B$4:$B$2662&lt;=EOMONTH(N$4,0))*(Diário!$F$4:$F$2662))</f>
        <v>0</v>
      </c>
      <c r="O130" s="103">
        <f t="shared" si="19"/>
        <v>58298.590000000004</v>
      </c>
      <c r="P130" s="95">
        <f t="shared" si="20"/>
        <v>3.0103407291740512E-3</v>
      </c>
    </row>
    <row r="131" spans="1:16" ht="23.25" customHeight="1">
      <c r="A131" s="40" t="s">
        <v>519</v>
      </c>
      <c r="B131" s="60" t="s">
        <v>466</v>
      </c>
      <c r="C131" s="102">
        <f>SUMPRODUCT((Diário!$E$4:$E$2662='Analítico Cx.'!$B131)*(Diário!$B$4:$B$2662&gt;=C$4)*(Diário!$B$4:$B$2662&lt;=EOMONTH(C$4,0))*(Diário!$F$4:$F$2662))</f>
        <v>284.95</v>
      </c>
      <c r="D131" s="102">
        <f>SUMPRODUCT((Diário!$E$4:$E$2662='Analítico Cx.'!$B131)*(Diário!$B$4:$B$2662&gt;=D$4)*(Diário!$B$4:$B$2662&lt;=EOMONTH(D$4,0))*(Diário!$F$4:$F$2662))</f>
        <v>3207.6</v>
      </c>
      <c r="E131" s="102">
        <f>SUMPRODUCT((Diário!$E$4:$E$2662='Analítico Cx.'!$B131)*(Diário!$B$4:$B$2662&gt;=E$4)*(Diário!$B$4:$B$2662&lt;=EOMONTH(E$4,0))*(Diário!$F$4:$F$2662))</f>
        <v>9527.59</v>
      </c>
      <c r="F131" s="102">
        <f>SUMPRODUCT((Diário!$E$4:$E$2662='Analítico Cx.'!$B131)*(Diário!$B$4:$B$2662&gt;=F$4)*(Diário!$B$4:$B$2662&lt;=EOMONTH(F$4,0))*(Diário!$F$4:$F$2662))</f>
        <v>5615.76</v>
      </c>
      <c r="G131" s="102">
        <f>SUMPRODUCT((Diário!$E$4:$E$2662='Analítico Cx.'!$B131)*(Diário!$B$4:$B$2662&gt;=G$4)*(Diário!$B$4:$B$2662&lt;=EOMONTH(G$4,0))*(Diário!$F$4:$F$2662))</f>
        <v>2866.73</v>
      </c>
      <c r="H131" s="102">
        <f>SUMPRODUCT((Diário!$E$4:$E$2662='Analítico Cx.'!$B131)*(Diário!$B$4:$B$2662&gt;=H$4)*(Diário!$B$4:$B$2662&lt;=EOMONTH(H$4,0))*(Diário!$F$4:$F$2662))</f>
        <v>4985.3599999999997</v>
      </c>
      <c r="I131" s="102">
        <f>SUMPRODUCT((Diário!$E$4:$E$2662='Analítico Cx.'!$B131)*(Diário!$B$4:$B$2662&gt;=I$4)*(Diário!$B$4:$B$2662&lt;=EOMONTH(I$4,0))*(Diário!$F$4:$F$2662))</f>
        <v>0</v>
      </c>
      <c r="J131" s="102">
        <f>SUMPRODUCT((Diário!$E$4:$E$2662='Analítico Cx.'!$B131)*(Diário!$B$4:$B$2662&gt;=J$4)*(Diário!$B$4:$B$2662&lt;=EOMONTH(J$4,0))*(Diário!$F$4:$F$2662))</f>
        <v>0</v>
      </c>
      <c r="K131" s="102">
        <f>SUMPRODUCT((Diário!$E$4:$E$2662='Analítico Cx.'!$B131)*(Diário!$B$4:$B$2662&gt;=K$4)*(Diário!$B$4:$B$2662&lt;=EOMONTH(K$4,0))*(Diário!$F$4:$F$2662))</f>
        <v>0</v>
      </c>
      <c r="L131" s="102">
        <f>SUMPRODUCT((Diário!$E$4:$E$2662='Analítico Cx.'!$B131)*(Diário!$B$4:$B$2662&gt;=L$4)*(Diário!$B$4:$B$2662&lt;=EOMONTH(L$4,0))*(Diário!$F$4:$F$2662))</f>
        <v>0</v>
      </c>
      <c r="M131" s="102">
        <f>SUMPRODUCT((Diário!$E$4:$E$2662='Analítico Cx.'!$B131)*(Diário!$B$4:$B$2662&gt;=M$4)*(Diário!$B$4:$B$2662&lt;=EOMONTH(M$4,0))*(Diário!$F$4:$F$2662))</f>
        <v>0</v>
      </c>
      <c r="N131" s="102">
        <f>SUMPRODUCT((Diário!$E$4:$E$2662='Analítico Cx.'!$B131)*(Diário!$B$4:$B$2662&gt;=N$4)*(Diário!$B$4:$B$2662&lt;=EOMONTH(N$4,0))*(Diário!$F$4:$F$2662))</f>
        <v>0</v>
      </c>
      <c r="O131" s="103">
        <f t="shared" si="19"/>
        <v>26487.99</v>
      </c>
      <c r="P131" s="95">
        <f t="shared" si="20"/>
        <v>1.3677496339269094E-3</v>
      </c>
    </row>
    <row r="132" spans="1:16" ht="23.25" customHeight="1">
      <c r="A132" s="40" t="s">
        <v>520</v>
      </c>
      <c r="B132" s="60" t="s">
        <v>467</v>
      </c>
      <c r="C132" s="102">
        <f>SUMPRODUCT((Diário!$E$4:$E$2662='Analítico Cx.'!$B132)*(Diário!$B$4:$B$2662&gt;=C$4)*(Diário!$B$4:$B$2662&lt;=EOMONTH(C$4,0))*(Diário!$F$4:$F$2662))</f>
        <v>485.34</v>
      </c>
      <c r="D132" s="102">
        <f>SUMPRODUCT((Diário!$E$4:$E$2662='Analítico Cx.'!$B132)*(Diário!$B$4:$B$2662&gt;=D$4)*(Diário!$B$4:$B$2662&lt;=EOMONTH(D$4,0))*(Diário!$F$4:$F$2662))</f>
        <v>0</v>
      </c>
      <c r="E132" s="102">
        <f>SUMPRODUCT((Diário!$E$4:$E$2662='Analítico Cx.'!$B132)*(Diário!$B$4:$B$2662&gt;=E$4)*(Diário!$B$4:$B$2662&lt;=EOMONTH(E$4,0))*(Diário!$F$4:$F$2662))</f>
        <v>0</v>
      </c>
      <c r="F132" s="102">
        <f>SUMPRODUCT((Diário!$E$4:$E$2662='Analítico Cx.'!$B132)*(Diário!$B$4:$B$2662&gt;=F$4)*(Diário!$B$4:$B$2662&lt;=EOMONTH(F$4,0))*(Diário!$F$4:$F$2662))</f>
        <v>1437.15</v>
      </c>
      <c r="G132" s="102">
        <f>SUMPRODUCT((Diário!$E$4:$E$2662='Analítico Cx.'!$B132)*(Diário!$B$4:$B$2662&gt;=G$4)*(Diário!$B$4:$B$2662&lt;=EOMONTH(G$4,0))*(Diário!$F$4:$F$2662))</f>
        <v>62.85</v>
      </c>
      <c r="H132" s="102">
        <f>SUMPRODUCT((Diário!$E$4:$E$2662='Analítico Cx.'!$B132)*(Diário!$B$4:$B$2662&gt;=H$4)*(Diário!$B$4:$B$2662&lt;=EOMONTH(H$4,0))*(Diário!$F$4:$F$2662))</f>
        <v>5995</v>
      </c>
      <c r="I132" s="102">
        <f>SUMPRODUCT((Diário!$E$4:$E$2662='Analítico Cx.'!$B132)*(Diário!$B$4:$B$2662&gt;=I$4)*(Diário!$B$4:$B$2662&lt;=EOMONTH(I$4,0))*(Diário!$F$4:$F$2662))</f>
        <v>0</v>
      </c>
      <c r="J132" s="102">
        <f>SUMPRODUCT((Diário!$E$4:$E$2662='Analítico Cx.'!$B132)*(Diário!$B$4:$B$2662&gt;=J$4)*(Diário!$B$4:$B$2662&lt;=EOMONTH(J$4,0))*(Diário!$F$4:$F$2662))</f>
        <v>0</v>
      </c>
      <c r="K132" s="102">
        <f>SUMPRODUCT((Diário!$E$4:$E$2662='Analítico Cx.'!$B132)*(Diário!$B$4:$B$2662&gt;=K$4)*(Diário!$B$4:$B$2662&lt;=EOMONTH(K$4,0))*(Diário!$F$4:$F$2662))</f>
        <v>0</v>
      </c>
      <c r="L132" s="102">
        <f>SUMPRODUCT((Diário!$E$4:$E$2662='Analítico Cx.'!$B132)*(Diário!$B$4:$B$2662&gt;=L$4)*(Diário!$B$4:$B$2662&lt;=EOMONTH(L$4,0))*(Diário!$F$4:$F$2662))</f>
        <v>0</v>
      </c>
      <c r="M132" s="102">
        <f>SUMPRODUCT((Diário!$E$4:$E$2662='Analítico Cx.'!$B132)*(Diário!$B$4:$B$2662&gt;=M$4)*(Diário!$B$4:$B$2662&lt;=EOMONTH(M$4,0))*(Diário!$F$4:$F$2662))</f>
        <v>0</v>
      </c>
      <c r="N132" s="102">
        <f>SUMPRODUCT((Diário!$E$4:$E$2662='Analítico Cx.'!$B132)*(Diário!$B$4:$B$2662&gt;=N$4)*(Diário!$B$4:$B$2662&lt;=EOMONTH(N$4,0))*(Diário!$F$4:$F$2662))</f>
        <v>0</v>
      </c>
      <c r="O132" s="103">
        <f t="shared" si="19"/>
        <v>7980.34</v>
      </c>
      <c r="P132" s="95">
        <f t="shared" si="20"/>
        <v>4.1207759115026362E-4</v>
      </c>
    </row>
    <row r="133" spans="1:16" ht="23.25" customHeight="1">
      <c r="A133" s="40" t="s">
        <v>521</v>
      </c>
      <c r="B133" s="60" t="s">
        <v>468</v>
      </c>
      <c r="C133" s="102">
        <f>SUMPRODUCT((Diário!$E$4:$E$2662='Analítico Cx.'!$B133)*(Diário!$B$4:$B$2662&gt;=C$4)*(Diário!$B$4:$B$2662&lt;=EOMONTH(C$4,0))*(Diário!$F$4:$F$2662))</f>
        <v>13530.93</v>
      </c>
      <c r="D133" s="102">
        <f>SUMPRODUCT((Diário!$E$4:$E$2662='Analítico Cx.'!$B133)*(Diário!$B$4:$B$2662&gt;=D$4)*(Diário!$B$4:$B$2662&lt;=EOMONTH(D$4,0))*(Diário!$F$4:$F$2662))</f>
        <v>17320.62</v>
      </c>
      <c r="E133" s="102">
        <f>SUMPRODUCT((Diário!$E$4:$E$2662='Analítico Cx.'!$B133)*(Diário!$B$4:$B$2662&gt;=E$4)*(Diário!$B$4:$B$2662&lt;=EOMONTH(E$4,0))*(Diário!$F$4:$F$2662))</f>
        <v>8617.24</v>
      </c>
      <c r="F133" s="102">
        <f>SUMPRODUCT((Diário!$E$4:$E$2662='Analítico Cx.'!$B133)*(Diário!$B$4:$B$2662&gt;=F$4)*(Diário!$B$4:$B$2662&lt;=EOMONTH(F$4,0))*(Diário!$F$4:$F$2662))</f>
        <v>13264.24</v>
      </c>
      <c r="G133" s="102">
        <f>SUMPRODUCT((Diário!$E$4:$E$2662='Analítico Cx.'!$B133)*(Diário!$B$4:$B$2662&gt;=G$4)*(Diário!$B$4:$B$2662&lt;=EOMONTH(G$4,0))*(Diário!$F$4:$F$2662))</f>
        <v>7093.0599999999995</v>
      </c>
      <c r="H133" s="102">
        <f>SUMPRODUCT((Diário!$E$4:$E$2662='Analítico Cx.'!$B133)*(Diário!$B$4:$B$2662&gt;=H$4)*(Diário!$B$4:$B$2662&lt;=EOMONTH(H$4,0))*(Diário!$F$4:$F$2662))</f>
        <v>29475.049999999996</v>
      </c>
      <c r="I133" s="102">
        <f>SUMPRODUCT((Diário!$E$4:$E$2662='Analítico Cx.'!$B133)*(Diário!$B$4:$B$2662&gt;=I$4)*(Diário!$B$4:$B$2662&lt;=EOMONTH(I$4,0))*(Diário!$F$4:$F$2662))</f>
        <v>0</v>
      </c>
      <c r="J133" s="102">
        <f>SUMPRODUCT((Diário!$E$4:$E$2662='Analítico Cx.'!$B133)*(Diário!$B$4:$B$2662&gt;=J$4)*(Diário!$B$4:$B$2662&lt;=EOMONTH(J$4,0))*(Diário!$F$4:$F$2662))</f>
        <v>0</v>
      </c>
      <c r="K133" s="102">
        <f>SUMPRODUCT((Diário!$E$4:$E$2662='Analítico Cx.'!$B133)*(Diário!$B$4:$B$2662&gt;=K$4)*(Diário!$B$4:$B$2662&lt;=EOMONTH(K$4,0))*(Diário!$F$4:$F$2662))</f>
        <v>0</v>
      </c>
      <c r="L133" s="102">
        <f>SUMPRODUCT((Diário!$E$4:$E$2662='Analítico Cx.'!$B133)*(Diário!$B$4:$B$2662&gt;=L$4)*(Diário!$B$4:$B$2662&lt;=EOMONTH(L$4,0))*(Diário!$F$4:$F$2662))</f>
        <v>0</v>
      </c>
      <c r="M133" s="102">
        <f>SUMPRODUCT((Diário!$E$4:$E$2662='Analítico Cx.'!$B133)*(Diário!$B$4:$B$2662&gt;=M$4)*(Diário!$B$4:$B$2662&lt;=EOMONTH(M$4,0))*(Diário!$F$4:$F$2662))</f>
        <v>0</v>
      </c>
      <c r="N133" s="102">
        <f>SUMPRODUCT((Diário!$E$4:$E$2662='Analítico Cx.'!$B133)*(Diário!$B$4:$B$2662&gt;=N$4)*(Diário!$B$4:$B$2662&lt;=EOMONTH(N$4,0))*(Diário!$F$4:$F$2662))</f>
        <v>0</v>
      </c>
      <c r="O133" s="103">
        <f t="shared" si="19"/>
        <v>89301.139999999985</v>
      </c>
      <c r="P133" s="95">
        <f t="shared" si="20"/>
        <v>4.611206873162352E-3</v>
      </c>
    </row>
    <row r="134" spans="1:16" ht="23.25" customHeight="1">
      <c r="A134" s="40" t="s">
        <v>522</v>
      </c>
      <c r="B134" s="60" t="s">
        <v>469</v>
      </c>
      <c r="C134" s="102">
        <f>SUMPRODUCT((Diário!$E$4:$E$2662='Analítico Cx.'!$B134)*(Diário!$B$4:$B$2662&gt;=C$4)*(Diário!$B$4:$B$2662&lt;=EOMONTH(C$4,0))*(Diário!$F$4:$F$2662))</f>
        <v>0</v>
      </c>
      <c r="D134" s="102">
        <f>SUMPRODUCT((Diário!$E$4:$E$2662='Analítico Cx.'!$B134)*(Diário!$B$4:$B$2662&gt;=D$4)*(Diário!$B$4:$B$2662&lt;=EOMONTH(D$4,0))*(Diário!$F$4:$F$2662))</f>
        <v>0</v>
      </c>
      <c r="E134" s="102">
        <f>SUMPRODUCT((Diário!$E$4:$E$2662='Analítico Cx.'!$B134)*(Diário!$B$4:$B$2662&gt;=E$4)*(Diário!$B$4:$B$2662&lt;=EOMONTH(E$4,0))*(Diário!$F$4:$F$2662))</f>
        <v>0</v>
      </c>
      <c r="F134" s="102">
        <f>SUMPRODUCT((Diário!$E$4:$E$2662='Analítico Cx.'!$B134)*(Diário!$B$4:$B$2662&gt;=F$4)*(Diário!$B$4:$B$2662&lt;=EOMONTH(F$4,0))*(Diário!$F$4:$F$2662))</f>
        <v>0</v>
      </c>
      <c r="G134" s="102">
        <f>SUMPRODUCT((Diário!$E$4:$E$2662='Analítico Cx.'!$B134)*(Diário!$B$4:$B$2662&gt;=G$4)*(Diário!$B$4:$B$2662&lt;=EOMONTH(G$4,0))*(Diário!$F$4:$F$2662))</f>
        <v>0</v>
      </c>
      <c r="H134" s="102">
        <f>SUMPRODUCT((Diário!$E$4:$E$2662='Analítico Cx.'!$B134)*(Diário!$B$4:$B$2662&gt;=H$4)*(Diário!$B$4:$B$2662&lt;=EOMONTH(H$4,0))*(Diário!$F$4:$F$2662))</f>
        <v>0</v>
      </c>
      <c r="I134" s="102">
        <f>SUMPRODUCT((Diário!$E$4:$E$2662='Analítico Cx.'!$B134)*(Diário!$B$4:$B$2662&gt;=I$4)*(Diário!$B$4:$B$2662&lt;=EOMONTH(I$4,0))*(Diário!$F$4:$F$2662))</f>
        <v>0</v>
      </c>
      <c r="J134" s="102">
        <f>SUMPRODUCT((Diário!$E$4:$E$2662='Analítico Cx.'!$B134)*(Diário!$B$4:$B$2662&gt;=J$4)*(Diário!$B$4:$B$2662&lt;=EOMONTH(J$4,0))*(Diário!$F$4:$F$2662))</f>
        <v>0</v>
      </c>
      <c r="K134" s="102">
        <f>SUMPRODUCT((Diário!$E$4:$E$2662='Analítico Cx.'!$B134)*(Diário!$B$4:$B$2662&gt;=K$4)*(Diário!$B$4:$B$2662&lt;=EOMONTH(K$4,0))*(Diário!$F$4:$F$2662))</f>
        <v>0</v>
      </c>
      <c r="L134" s="102">
        <f>SUMPRODUCT((Diário!$E$4:$E$2662='Analítico Cx.'!$B134)*(Diário!$B$4:$B$2662&gt;=L$4)*(Diário!$B$4:$B$2662&lt;=EOMONTH(L$4,0))*(Diário!$F$4:$F$2662))</f>
        <v>0</v>
      </c>
      <c r="M134" s="102">
        <f>SUMPRODUCT((Diário!$E$4:$E$2662='Analítico Cx.'!$B134)*(Diário!$B$4:$B$2662&gt;=M$4)*(Diário!$B$4:$B$2662&lt;=EOMONTH(M$4,0))*(Diário!$F$4:$F$2662))</f>
        <v>0</v>
      </c>
      <c r="N134" s="102">
        <f>SUMPRODUCT((Diário!$E$4:$E$2662='Analítico Cx.'!$B134)*(Diário!$B$4:$B$2662&gt;=N$4)*(Diário!$B$4:$B$2662&lt;=EOMONTH(N$4,0))*(Diário!$F$4:$F$2662))</f>
        <v>0</v>
      </c>
      <c r="O134" s="103">
        <f t="shared" si="19"/>
        <v>0</v>
      </c>
      <c r="P134" s="95">
        <f t="shared" si="20"/>
        <v>0</v>
      </c>
    </row>
    <row r="135" spans="1:16" ht="23.25" customHeight="1">
      <c r="A135" s="40" t="s">
        <v>523</v>
      </c>
      <c r="B135" s="60" t="s">
        <v>470</v>
      </c>
      <c r="C135" s="102">
        <f>SUMPRODUCT((Diário!$E$4:$E$2662='Analítico Cx.'!$B135)*(Diário!$B$4:$B$2662&gt;=C$4)*(Diário!$B$4:$B$2662&lt;=EOMONTH(C$4,0))*(Diário!$F$4:$F$2662))</f>
        <v>0</v>
      </c>
      <c r="D135" s="102">
        <f>SUMPRODUCT((Diário!$E$4:$E$2662='Analítico Cx.'!$B135)*(Diário!$B$4:$B$2662&gt;=D$4)*(Diário!$B$4:$B$2662&lt;=EOMONTH(D$4,0))*(Diário!$F$4:$F$2662))</f>
        <v>0</v>
      </c>
      <c r="E135" s="102">
        <f>SUMPRODUCT((Diário!$E$4:$E$2662='Analítico Cx.'!$B135)*(Diário!$B$4:$B$2662&gt;=E$4)*(Diário!$B$4:$B$2662&lt;=EOMONTH(E$4,0))*(Diário!$F$4:$F$2662))</f>
        <v>0</v>
      </c>
      <c r="F135" s="102">
        <f>SUMPRODUCT((Diário!$E$4:$E$2662='Analítico Cx.'!$B135)*(Diário!$B$4:$B$2662&gt;=F$4)*(Diário!$B$4:$B$2662&lt;=EOMONTH(F$4,0))*(Diário!$F$4:$F$2662))</f>
        <v>0</v>
      </c>
      <c r="G135" s="102">
        <f>SUMPRODUCT((Diário!$E$4:$E$2662='Analítico Cx.'!$B135)*(Diário!$B$4:$B$2662&gt;=G$4)*(Diário!$B$4:$B$2662&lt;=EOMONTH(G$4,0))*(Diário!$F$4:$F$2662))</f>
        <v>5200</v>
      </c>
      <c r="H135" s="102">
        <f>SUMPRODUCT((Diário!$E$4:$E$2662='Analítico Cx.'!$B135)*(Diário!$B$4:$B$2662&gt;=H$4)*(Diário!$B$4:$B$2662&lt;=EOMONTH(H$4,0))*(Diário!$F$4:$F$2662))</f>
        <v>6517.4800000000005</v>
      </c>
      <c r="I135" s="102">
        <f>SUMPRODUCT((Diário!$E$4:$E$2662='Analítico Cx.'!$B135)*(Diário!$B$4:$B$2662&gt;=I$4)*(Diário!$B$4:$B$2662&lt;=EOMONTH(I$4,0))*(Diário!$F$4:$F$2662))</f>
        <v>0</v>
      </c>
      <c r="J135" s="102">
        <f>SUMPRODUCT((Diário!$E$4:$E$2662='Analítico Cx.'!$B135)*(Diário!$B$4:$B$2662&gt;=J$4)*(Diário!$B$4:$B$2662&lt;=EOMONTH(J$4,0))*(Diário!$F$4:$F$2662))</f>
        <v>0</v>
      </c>
      <c r="K135" s="102">
        <f>SUMPRODUCT((Diário!$E$4:$E$2662='Analítico Cx.'!$B135)*(Diário!$B$4:$B$2662&gt;=K$4)*(Diário!$B$4:$B$2662&lt;=EOMONTH(K$4,0))*(Diário!$F$4:$F$2662))</f>
        <v>0</v>
      </c>
      <c r="L135" s="102">
        <f>SUMPRODUCT((Diário!$E$4:$E$2662='Analítico Cx.'!$B135)*(Diário!$B$4:$B$2662&gt;=L$4)*(Diário!$B$4:$B$2662&lt;=EOMONTH(L$4,0))*(Diário!$F$4:$F$2662))</f>
        <v>0</v>
      </c>
      <c r="M135" s="102">
        <f>SUMPRODUCT((Diário!$E$4:$E$2662='Analítico Cx.'!$B135)*(Diário!$B$4:$B$2662&gt;=M$4)*(Diário!$B$4:$B$2662&lt;=EOMONTH(M$4,0))*(Diário!$F$4:$F$2662))</f>
        <v>0</v>
      </c>
      <c r="N135" s="102">
        <f>SUMPRODUCT((Diário!$E$4:$E$2662='Analítico Cx.'!$B135)*(Diário!$B$4:$B$2662&gt;=N$4)*(Diário!$B$4:$B$2662&lt;=EOMONTH(N$4,0))*(Diário!$F$4:$F$2662))</f>
        <v>0</v>
      </c>
      <c r="O135" s="103">
        <f t="shared" si="19"/>
        <v>11717.48</v>
      </c>
      <c r="P135" s="95">
        <f t="shared" si="20"/>
        <v>6.0505077888302892E-4</v>
      </c>
    </row>
    <row r="136" spans="1:16" ht="23.25" customHeight="1">
      <c r="A136" s="40" t="s">
        <v>524</v>
      </c>
      <c r="B136" s="60" t="s">
        <v>471</v>
      </c>
      <c r="C136" s="102">
        <f>SUMPRODUCT((Diário!$E$4:$E$2662='Analítico Cx.'!$B136)*(Diário!$B$4:$B$2662&gt;=C$4)*(Diário!$B$4:$B$2662&lt;=EOMONTH(C$4,0))*(Diário!$F$4:$F$2662))</f>
        <v>1712.14</v>
      </c>
      <c r="D136" s="102">
        <f>SUMPRODUCT((Diário!$E$4:$E$2662='Analítico Cx.'!$B136)*(Diário!$B$4:$B$2662&gt;=D$4)*(Diário!$B$4:$B$2662&lt;=EOMONTH(D$4,0))*(Diário!$F$4:$F$2662))</f>
        <v>4359.8999999999996</v>
      </c>
      <c r="E136" s="102">
        <f>SUMPRODUCT((Diário!$E$4:$E$2662='Analítico Cx.'!$B136)*(Diário!$B$4:$B$2662&gt;=E$4)*(Diário!$B$4:$B$2662&lt;=EOMONTH(E$4,0))*(Diário!$F$4:$F$2662))</f>
        <v>24634.03</v>
      </c>
      <c r="F136" s="102">
        <f>SUMPRODUCT((Diário!$E$4:$E$2662='Analítico Cx.'!$B136)*(Diário!$B$4:$B$2662&gt;=F$4)*(Diário!$B$4:$B$2662&lt;=EOMONTH(F$4,0))*(Diário!$F$4:$F$2662))</f>
        <v>15176.12</v>
      </c>
      <c r="G136" s="102">
        <f>SUMPRODUCT((Diário!$E$4:$E$2662='Analítico Cx.'!$B136)*(Diário!$B$4:$B$2662&gt;=G$4)*(Diário!$B$4:$B$2662&lt;=EOMONTH(G$4,0))*(Diário!$F$4:$F$2662))</f>
        <v>5877.8399999999992</v>
      </c>
      <c r="H136" s="102">
        <f>SUMPRODUCT((Diário!$E$4:$E$2662='Analítico Cx.'!$B136)*(Diário!$B$4:$B$2662&gt;=H$4)*(Diário!$B$4:$B$2662&lt;=EOMONTH(H$4,0))*(Diário!$F$4:$F$2662))</f>
        <v>29373.200000000001</v>
      </c>
      <c r="I136" s="102">
        <f>SUMPRODUCT((Diário!$E$4:$E$2662='Analítico Cx.'!$B136)*(Diário!$B$4:$B$2662&gt;=I$4)*(Diário!$B$4:$B$2662&lt;=EOMONTH(I$4,0))*(Diário!$F$4:$F$2662))</f>
        <v>0</v>
      </c>
      <c r="J136" s="102">
        <f>SUMPRODUCT((Diário!$E$4:$E$2662='Analítico Cx.'!$B136)*(Diário!$B$4:$B$2662&gt;=J$4)*(Diário!$B$4:$B$2662&lt;=EOMONTH(J$4,0))*(Diário!$F$4:$F$2662))</f>
        <v>0</v>
      </c>
      <c r="K136" s="102">
        <f>SUMPRODUCT((Diário!$E$4:$E$2662='Analítico Cx.'!$B136)*(Diário!$B$4:$B$2662&gt;=K$4)*(Diário!$B$4:$B$2662&lt;=EOMONTH(K$4,0))*(Diário!$F$4:$F$2662))</f>
        <v>0</v>
      </c>
      <c r="L136" s="102">
        <f>SUMPRODUCT((Diário!$E$4:$E$2662='Analítico Cx.'!$B136)*(Diário!$B$4:$B$2662&gt;=L$4)*(Diário!$B$4:$B$2662&lt;=EOMONTH(L$4,0))*(Diário!$F$4:$F$2662))</f>
        <v>0</v>
      </c>
      <c r="M136" s="102">
        <f>SUMPRODUCT((Diário!$E$4:$E$2662='Analítico Cx.'!$B136)*(Diário!$B$4:$B$2662&gt;=M$4)*(Diário!$B$4:$B$2662&lt;=EOMONTH(M$4,0))*(Diário!$F$4:$F$2662))</f>
        <v>0</v>
      </c>
      <c r="N136" s="102">
        <f>SUMPRODUCT((Diário!$E$4:$E$2662='Analítico Cx.'!$B136)*(Diário!$B$4:$B$2662&gt;=N$4)*(Diário!$B$4:$B$2662&lt;=EOMONTH(N$4,0))*(Diário!$F$4:$F$2662))</f>
        <v>0</v>
      </c>
      <c r="O136" s="103">
        <f t="shared" si="19"/>
        <v>81133.23</v>
      </c>
      <c r="P136" s="95">
        <f t="shared" si="20"/>
        <v>4.1894438057326257E-3</v>
      </c>
    </row>
    <row r="137" spans="1:16" ht="23.25" customHeight="1">
      <c r="A137" s="40" t="s">
        <v>525</v>
      </c>
      <c r="B137" s="60" t="s">
        <v>472</v>
      </c>
      <c r="C137" s="102">
        <f>SUMPRODUCT((Diário!$E$4:$E$2662='Analítico Cx.'!$B137)*(Diário!$B$4:$B$2662&gt;=C$4)*(Diário!$B$4:$B$2662&lt;=EOMONTH(C$4,0))*(Diário!$F$4:$F$2662))</f>
        <v>0</v>
      </c>
      <c r="D137" s="102">
        <f>SUMPRODUCT((Diário!$E$4:$E$2662='Analítico Cx.'!$B137)*(Diário!$B$4:$B$2662&gt;=D$4)*(Diário!$B$4:$B$2662&lt;=EOMONTH(D$4,0))*(Diário!$F$4:$F$2662))</f>
        <v>0</v>
      </c>
      <c r="E137" s="102">
        <f>SUMPRODUCT((Diário!$E$4:$E$2662='Analítico Cx.'!$B137)*(Diário!$B$4:$B$2662&gt;=E$4)*(Diário!$B$4:$B$2662&lt;=EOMONTH(E$4,0))*(Diário!$F$4:$F$2662))</f>
        <v>0</v>
      </c>
      <c r="F137" s="102">
        <f>SUMPRODUCT((Diário!$E$4:$E$2662='Analítico Cx.'!$B137)*(Diário!$B$4:$B$2662&gt;=F$4)*(Diário!$B$4:$B$2662&lt;=EOMONTH(F$4,0))*(Diário!$F$4:$F$2662))</f>
        <v>4875</v>
      </c>
      <c r="G137" s="102">
        <f>SUMPRODUCT((Diário!$E$4:$E$2662='Analítico Cx.'!$B137)*(Diário!$B$4:$B$2662&gt;=G$4)*(Diário!$B$4:$B$2662&lt;=EOMONTH(G$4,0))*(Diário!$F$4:$F$2662))</f>
        <v>9483.82</v>
      </c>
      <c r="H137" s="102">
        <f>SUMPRODUCT((Diário!$E$4:$E$2662='Analítico Cx.'!$B137)*(Diário!$B$4:$B$2662&gt;=H$4)*(Diário!$B$4:$B$2662&lt;=EOMONTH(H$4,0))*(Diário!$F$4:$F$2662))</f>
        <v>5011.5</v>
      </c>
      <c r="I137" s="102">
        <f>SUMPRODUCT((Diário!$E$4:$E$2662='Analítico Cx.'!$B137)*(Diário!$B$4:$B$2662&gt;=I$4)*(Diário!$B$4:$B$2662&lt;=EOMONTH(I$4,0))*(Diário!$F$4:$F$2662))</f>
        <v>0</v>
      </c>
      <c r="J137" s="102">
        <f>SUMPRODUCT((Diário!$E$4:$E$2662='Analítico Cx.'!$B137)*(Diário!$B$4:$B$2662&gt;=J$4)*(Diário!$B$4:$B$2662&lt;=EOMONTH(J$4,0))*(Diário!$F$4:$F$2662))</f>
        <v>0</v>
      </c>
      <c r="K137" s="102">
        <f>SUMPRODUCT((Diário!$E$4:$E$2662='Analítico Cx.'!$B137)*(Diário!$B$4:$B$2662&gt;=K$4)*(Diário!$B$4:$B$2662&lt;=EOMONTH(K$4,0))*(Diário!$F$4:$F$2662))</f>
        <v>0</v>
      </c>
      <c r="L137" s="102">
        <f>SUMPRODUCT((Diário!$E$4:$E$2662='Analítico Cx.'!$B137)*(Diário!$B$4:$B$2662&gt;=L$4)*(Diário!$B$4:$B$2662&lt;=EOMONTH(L$4,0))*(Diário!$F$4:$F$2662))</f>
        <v>0</v>
      </c>
      <c r="M137" s="102">
        <f>SUMPRODUCT((Diário!$E$4:$E$2662='Analítico Cx.'!$B137)*(Diário!$B$4:$B$2662&gt;=M$4)*(Diário!$B$4:$B$2662&lt;=EOMONTH(M$4,0))*(Diário!$F$4:$F$2662))</f>
        <v>0</v>
      </c>
      <c r="N137" s="102">
        <f>SUMPRODUCT((Diário!$E$4:$E$2662='Analítico Cx.'!$B137)*(Diário!$B$4:$B$2662&gt;=N$4)*(Diário!$B$4:$B$2662&lt;=EOMONTH(N$4,0))*(Diário!$F$4:$F$2662))</f>
        <v>0</v>
      </c>
      <c r="O137" s="103">
        <f t="shared" si="19"/>
        <v>19370.32</v>
      </c>
      <c r="P137" s="95">
        <f t="shared" si="20"/>
        <v>1.0002173848996127E-3</v>
      </c>
    </row>
    <row r="138" spans="1:16" ht="23.25" customHeight="1">
      <c r="A138" s="40" t="s">
        <v>526</v>
      </c>
      <c r="B138" s="60" t="s">
        <v>473</v>
      </c>
      <c r="C138" s="102">
        <f>SUMPRODUCT((Diário!$E$4:$E$2662='Analítico Cx.'!$B138)*(Diário!$B$4:$B$2662&gt;=C$4)*(Diário!$B$4:$B$2662&lt;=EOMONTH(C$4,0))*(Diário!$F$4:$F$2662))</f>
        <v>0</v>
      </c>
      <c r="D138" s="102">
        <f>SUMPRODUCT((Diário!$E$4:$E$2662='Analítico Cx.'!$B138)*(Diário!$B$4:$B$2662&gt;=D$4)*(Diário!$B$4:$B$2662&lt;=EOMONTH(D$4,0))*(Diário!$F$4:$F$2662))</f>
        <v>0</v>
      </c>
      <c r="E138" s="102">
        <f>SUMPRODUCT((Diário!$E$4:$E$2662='Analítico Cx.'!$B138)*(Diário!$B$4:$B$2662&gt;=E$4)*(Diário!$B$4:$B$2662&lt;=EOMONTH(E$4,0))*(Diário!$F$4:$F$2662))</f>
        <v>3048</v>
      </c>
      <c r="F138" s="102">
        <f>SUMPRODUCT((Diário!$E$4:$E$2662='Analítico Cx.'!$B138)*(Diário!$B$4:$B$2662&gt;=F$4)*(Diário!$B$4:$B$2662&lt;=EOMONTH(F$4,0))*(Diário!$F$4:$F$2662))</f>
        <v>7945.95</v>
      </c>
      <c r="G138" s="102">
        <f>SUMPRODUCT((Diário!$E$4:$E$2662='Analítico Cx.'!$B138)*(Diário!$B$4:$B$2662&gt;=G$4)*(Diário!$B$4:$B$2662&lt;=EOMONTH(G$4,0))*(Diário!$F$4:$F$2662))</f>
        <v>9326.380000000001</v>
      </c>
      <c r="H138" s="102">
        <f>SUMPRODUCT((Diário!$E$4:$E$2662='Analítico Cx.'!$B138)*(Diário!$B$4:$B$2662&gt;=H$4)*(Diário!$B$4:$B$2662&lt;=EOMONTH(H$4,0))*(Diário!$F$4:$F$2662))</f>
        <v>4821.6499999999996</v>
      </c>
      <c r="I138" s="102">
        <f>SUMPRODUCT((Diário!$E$4:$E$2662='Analítico Cx.'!$B138)*(Diário!$B$4:$B$2662&gt;=I$4)*(Diário!$B$4:$B$2662&lt;=EOMONTH(I$4,0))*(Diário!$F$4:$F$2662))</f>
        <v>0</v>
      </c>
      <c r="J138" s="102">
        <f>SUMPRODUCT((Diário!$E$4:$E$2662='Analítico Cx.'!$B138)*(Diário!$B$4:$B$2662&gt;=J$4)*(Diário!$B$4:$B$2662&lt;=EOMONTH(J$4,0))*(Diário!$F$4:$F$2662))</f>
        <v>0</v>
      </c>
      <c r="K138" s="102">
        <f>SUMPRODUCT((Diário!$E$4:$E$2662='Analítico Cx.'!$B138)*(Diário!$B$4:$B$2662&gt;=K$4)*(Diário!$B$4:$B$2662&lt;=EOMONTH(K$4,0))*(Diário!$F$4:$F$2662))</f>
        <v>0</v>
      </c>
      <c r="L138" s="102">
        <f>SUMPRODUCT((Diário!$E$4:$E$2662='Analítico Cx.'!$B138)*(Diário!$B$4:$B$2662&gt;=L$4)*(Diário!$B$4:$B$2662&lt;=EOMONTH(L$4,0))*(Diário!$F$4:$F$2662))</f>
        <v>0</v>
      </c>
      <c r="M138" s="102">
        <f>SUMPRODUCT((Diário!$E$4:$E$2662='Analítico Cx.'!$B138)*(Diário!$B$4:$B$2662&gt;=M$4)*(Diário!$B$4:$B$2662&lt;=EOMONTH(M$4,0))*(Diário!$F$4:$F$2662))</f>
        <v>0</v>
      </c>
      <c r="N138" s="102">
        <f>SUMPRODUCT((Diário!$E$4:$E$2662='Analítico Cx.'!$B138)*(Diário!$B$4:$B$2662&gt;=N$4)*(Diário!$B$4:$B$2662&lt;=EOMONTH(N$4,0))*(Diário!$F$4:$F$2662))</f>
        <v>0</v>
      </c>
      <c r="O138" s="103">
        <f t="shared" si="19"/>
        <v>25141.980000000003</v>
      </c>
      <c r="P138" s="95">
        <f t="shared" si="20"/>
        <v>1.2982462595764223E-3</v>
      </c>
    </row>
    <row r="139" spans="1:16" ht="23.25" customHeight="1">
      <c r="A139" s="40" t="s">
        <v>527</v>
      </c>
      <c r="B139" s="60" t="s">
        <v>474</v>
      </c>
      <c r="C139" s="102">
        <f>SUMPRODUCT((Diário!$E$4:$E$2662='Analítico Cx.'!$B139)*(Diário!$B$4:$B$2662&gt;=C$4)*(Diário!$B$4:$B$2662&lt;=EOMONTH(C$4,0))*(Diário!$F$4:$F$2662))</f>
        <v>0</v>
      </c>
      <c r="D139" s="102">
        <f>SUMPRODUCT((Diário!$E$4:$E$2662='Analítico Cx.'!$B139)*(Diário!$B$4:$B$2662&gt;=D$4)*(Diário!$B$4:$B$2662&lt;=EOMONTH(D$4,0))*(Diário!$F$4:$F$2662))</f>
        <v>19600</v>
      </c>
      <c r="E139" s="102">
        <f>SUMPRODUCT((Diário!$E$4:$E$2662='Analítico Cx.'!$B139)*(Diário!$B$4:$B$2662&gt;=E$4)*(Diário!$B$4:$B$2662&lt;=EOMONTH(E$4,0))*(Diário!$F$4:$F$2662))</f>
        <v>49734.04</v>
      </c>
      <c r="F139" s="102">
        <f>SUMPRODUCT((Diário!$E$4:$E$2662='Analítico Cx.'!$B139)*(Diário!$B$4:$B$2662&gt;=F$4)*(Diário!$B$4:$B$2662&lt;=EOMONTH(F$4,0))*(Diário!$F$4:$F$2662))</f>
        <v>0</v>
      </c>
      <c r="G139" s="102">
        <f>SUMPRODUCT((Diário!$E$4:$E$2662='Analítico Cx.'!$B139)*(Diário!$B$4:$B$2662&gt;=G$4)*(Diário!$B$4:$B$2662&lt;=EOMONTH(G$4,0))*(Diário!$F$4:$F$2662))</f>
        <v>0</v>
      </c>
      <c r="H139" s="102">
        <f>SUMPRODUCT((Diário!$E$4:$E$2662='Analítico Cx.'!$B139)*(Diário!$B$4:$B$2662&gt;=H$4)*(Diário!$B$4:$B$2662&lt;=EOMONTH(H$4,0))*(Diário!$F$4:$F$2662))</f>
        <v>0</v>
      </c>
      <c r="I139" s="102">
        <f>SUMPRODUCT((Diário!$E$4:$E$2662='Analítico Cx.'!$B139)*(Diário!$B$4:$B$2662&gt;=I$4)*(Diário!$B$4:$B$2662&lt;=EOMONTH(I$4,0))*(Diário!$F$4:$F$2662))</f>
        <v>0</v>
      </c>
      <c r="J139" s="102">
        <f>SUMPRODUCT((Diário!$E$4:$E$2662='Analítico Cx.'!$B139)*(Diário!$B$4:$B$2662&gt;=J$4)*(Diário!$B$4:$B$2662&lt;=EOMONTH(J$4,0))*(Diário!$F$4:$F$2662))</f>
        <v>0</v>
      </c>
      <c r="K139" s="102">
        <f>SUMPRODUCT((Diário!$E$4:$E$2662='Analítico Cx.'!$B139)*(Diário!$B$4:$B$2662&gt;=K$4)*(Diário!$B$4:$B$2662&lt;=EOMONTH(K$4,0))*(Diário!$F$4:$F$2662))</f>
        <v>0</v>
      </c>
      <c r="L139" s="102">
        <f>SUMPRODUCT((Diário!$E$4:$E$2662='Analítico Cx.'!$B139)*(Diário!$B$4:$B$2662&gt;=L$4)*(Diário!$B$4:$B$2662&lt;=EOMONTH(L$4,0))*(Diário!$F$4:$F$2662))</f>
        <v>0</v>
      </c>
      <c r="M139" s="102">
        <f>SUMPRODUCT((Diário!$E$4:$E$2662='Analítico Cx.'!$B139)*(Diário!$B$4:$B$2662&gt;=M$4)*(Diário!$B$4:$B$2662&lt;=EOMONTH(M$4,0))*(Diário!$F$4:$F$2662))</f>
        <v>0</v>
      </c>
      <c r="N139" s="102">
        <f>SUMPRODUCT((Diário!$E$4:$E$2662='Analítico Cx.'!$B139)*(Diário!$B$4:$B$2662&gt;=N$4)*(Diário!$B$4:$B$2662&lt;=EOMONTH(N$4,0))*(Diário!$F$4:$F$2662))</f>
        <v>0</v>
      </c>
      <c r="O139" s="103">
        <f t="shared" si="19"/>
        <v>69334.040000000008</v>
      </c>
      <c r="P139" s="95">
        <f t="shared" si="20"/>
        <v>3.5801738006044888E-3</v>
      </c>
    </row>
    <row r="140" spans="1:16" ht="23.25" customHeight="1">
      <c r="A140" s="40" t="s">
        <v>528</v>
      </c>
      <c r="B140" s="60" t="s">
        <v>475</v>
      </c>
      <c r="C140" s="102">
        <f>SUMPRODUCT((Diário!$E$4:$E$2662='Analítico Cx.'!$B140)*(Diário!$B$4:$B$2662&gt;=C$4)*(Diário!$B$4:$B$2662&lt;=EOMONTH(C$4,0))*(Diário!$F$4:$F$2662))</f>
        <v>0</v>
      </c>
      <c r="D140" s="102">
        <f>SUMPRODUCT((Diário!$E$4:$E$2662='Analítico Cx.'!$B140)*(Diário!$B$4:$B$2662&gt;=D$4)*(Diário!$B$4:$B$2662&lt;=EOMONTH(D$4,0))*(Diário!$F$4:$F$2662))</f>
        <v>0</v>
      </c>
      <c r="E140" s="102">
        <f>SUMPRODUCT((Diário!$E$4:$E$2662='Analítico Cx.'!$B140)*(Diário!$B$4:$B$2662&gt;=E$4)*(Diário!$B$4:$B$2662&lt;=EOMONTH(E$4,0))*(Diário!$F$4:$F$2662))</f>
        <v>0</v>
      </c>
      <c r="F140" s="102">
        <f>SUMPRODUCT((Diário!$E$4:$E$2662='Analítico Cx.'!$B140)*(Diário!$B$4:$B$2662&gt;=F$4)*(Diário!$B$4:$B$2662&lt;=EOMONTH(F$4,0))*(Diário!$F$4:$F$2662))</f>
        <v>0</v>
      </c>
      <c r="G140" s="102">
        <f>SUMPRODUCT((Diário!$E$4:$E$2662='Analítico Cx.'!$B140)*(Diário!$B$4:$B$2662&gt;=G$4)*(Diário!$B$4:$B$2662&lt;=EOMONTH(G$4,0))*(Diário!$F$4:$F$2662))</f>
        <v>0</v>
      </c>
      <c r="H140" s="102">
        <f>SUMPRODUCT((Diário!$E$4:$E$2662='Analítico Cx.'!$B140)*(Diário!$B$4:$B$2662&gt;=H$4)*(Diário!$B$4:$B$2662&lt;=EOMONTH(H$4,0))*(Diário!$F$4:$F$2662))</f>
        <v>0</v>
      </c>
      <c r="I140" s="102">
        <f>SUMPRODUCT((Diário!$E$4:$E$2662='Analítico Cx.'!$B140)*(Diário!$B$4:$B$2662&gt;=I$4)*(Diário!$B$4:$B$2662&lt;=EOMONTH(I$4,0))*(Diário!$F$4:$F$2662))</f>
        <v>0</v>
      </c>
      <c r="J140" s="102">
        <f>SUMPRODUCT((Diário!$E$4:$E$2662='Analítico Cx.'!$B140)*(Diário!$B$4:$B$2662&gt;=J$4)*(Diário!$B$4:$B$2662&lt;=EOMONTH(J$4,0))*(Diário!$F$4:$F$2662))</f>
        <v>0</v>
      </c>
      <c r="K140" s="102">
        <f>SUMPRODUCT((Diário!$E$4:$E$2662='Analítico Cx.'!$B140)*(Diário!$B$4:$B$2662&gt;=K$4)*(Diário!$B$4:$B$2662&lt;=EOMONTH(K$4,0))*(Diário!$F$4:$F$2662))</f>
        <v>0</v>
      </c>
      <c r="L140" s="102">
        <f>SUMPRODUCT((Diário!$E$4:$E$2662='Analítico Cx.'!$B140)*(Diário!$B$4:$B$2662&gt;=L$4)*(Diário!$B$4:$B$2662&lt;=EOMONTH(L$4,0))*(Diário!$F$4:$F$2662))</f>
        <v>0</v>
      </c>
      <c r="M140" s="102">
        <f>SUMPRODUCT((Diário!$E$4:$E$2662='Analítico Cx.'!$B140)*(Diário!$B$4:$B$2662&gt;=M$4)*(Diário!$B$4:$B$2662&lt;=EOMONTH(M$4,0))*(Diário!$F$4:$F$2662))</f>
        <v>0</v>
      </c>
      <c r="N140" s="102">
        <f>SUMPRODUCT((Diário!$E$4:$E$2662='Analítico Cx.'!$B140)*(Diário!$B$4:$B$2662&gt;=N$4)*(Diário!$B$4:$B$2662&lt;=EOMONTH(N$4,0))*(Diário!$F$4:$F$2662))</f>
        <v>0</v>
      </c>
      <c r="O140" s="103">
        <f t="shared" si="19"/>
        <v>0</v>
      </c>
      <c r="P140" s="95">
        <f t="shared" si="20"/>
        <v>0</v>
      </c>
    </row>
    <row r="141" spans="1:16" ht="23.25" customHeight="1">
      <c r="A141" s="40" t="s">
        <v>529</v>
      </c>
      <c r="B141" s="60" t="s">
        <v>476</v>
      </c>
      <c r="C141" s="102">
        <f>SUMPRODUCT((Diário!$E$4:$E$2662='Analítico Cx.'!$B141)*(Diário!$B$4:$B$2662&gt;=C$4)*(Diário!$B$4:$B$2662&lt;=EOMONTH(C$4,0))*(Diário!$F$4:$F$2662))</f>
        <v>0</v>
      </c>
      <c r="D141" s="102">
        <f>SUMPRODUCT((Diário!$E$4:$E$2662='Analítico Cx.'!$B141)*(Diário!$B$4:$B$2662&gt;=D$4)*(Diário!$B$4:$B$2662&lt;=EOMONTH(D$4,0))*(Diário!$F$4:$F$2662))</f>
        <v>0</v>
      </c>
      <c r="E141" s="102">
        <f>SUMPRODUCT((Diário!$E$4:$E$2662='Analítico Cx.'!$B141)*(Diário!$B$4:$B$2662&gt;=E$4)*(Diário!$B$4:$B$2662&lt;=EOMONTH(E$4,0))*(Diário!$F$4:$F$2662))</f>
        <v>0</v>
      </c>
      <c r="F141" s="102">
        <f>SUMPRODUCT((Diário!$E$4:$E$2662='Analítico Cx.'!$B141)*(Diário!$B$4:$B$2662&gt;=F$4)*(Diário!$B$4:$B$2662&lt;=EOMONTH(F$4,0))*(Diário!$F$4:$F$2662))</f>
        <v>0</v>
      </c>
      <c r="G141" s="102">
        <f>SUMPRODUCT((Diário!$E$4:$E$2662='Analítico Cx.'!$B141)*(Diário!$B$4:$B$2662&gt;=G$4)*(Diário!$B$4:$B$2662&lt;=EOMONTH(G$4,0))*(Diário!$F$4:$F$2662))</f>
        <v>0</v>
      </c>
      <c r="H141" s="102">
        <f>SUMPRODUCT((Diário!$E$4:$E$2662='Analítico Cx.'!$B141)*(Diário!$B$4:$B$2662&gt;=H$4)*(Diário!$B$4:$B$2662&lt;=EOMONTH(H$4,0))*(Diário!$F$4:$F$2662))</f>
        <v>0</v>
      </c>
      <c r="I141" s="102">
        <f>SUMPRODUCT((Diário!$E$4:$E$2662='Analítico Cx.'!$B141)*(Diário!$B$4:$B$2662&gt;=I$4)*(Diário!$B$4:$B$2662&lt;=EOMONTH(I$4,0))*(Diário!$F$4:$F$2662))</f>
        <v>0</v>
      </c>
      <c r="J141" s="102">
        <f>SUMPRODUCT((Diário!$E$4:$E$2662='Analítico Cx.'!$B141)*(Diário!$B$4:$B$2662&gt;=J$4)*(Diário!$B$4:$B$2662&lt;=EOMONTH(J$4,0))*(Diário!$F$4:$F$2662))</f>
        <v>0</v>
      </c>
      <c r="K141" s="102">
        <f>SUMPRODUCT((Diário!$E$4:$E$2662='Analítico Cx.'!$B141)*(Diário!$B$4:$B$2662&gt;=K$4)*(Diário!$B$4:$B$2662&lt;=EOMONTH(K$4,0))*(Diário!$F$4:$F$2662))</f>
        <v>0</v>
      </c>
      <c r="L141" s="102">
        <f>SUMPRODUCT((Diário!$E$4:$E$2662='Analítico Cx.'!$B141)*(Diário!$B$4:$B$2662&gt;=L$4)*(Diário!$B$4:$B$2662&lt;=EOMONTH(L$4,0))*(Diário!$F$4:$F$2662))</f>
        <v>0</v>
      </c>
      <c r="M141" s="102">
        <f>SUMPRODUCT((Diário!$E$4:$E$2662='Analítico Cx.'!$B141)*(Diário!$B$4:$B$2662&gt;=M$4)*(Diário!$B$4:$B$2662&lt;=EOMONTH(M$4,0))*(Diário!$F$4:$F$2662))</f>
        <v>0</v>
      </c>
      <c r="N141" s="102">
        <f>SUMPRODUCT((Diário!$E$4:$E$2662='Analítico Cx.'!$B141)*(Diário!$B$4:$B$2662&gt;=N$4)*(Diário!$B$4:$B$2662&lt;=EOMONTH(N$4,0))*(Diário!$F$4:$F$2662))</f>
        <v>0</v>
      </c>
      <c r="O141" s="103">
        <f t="shared" si="19"/>
        <v>0</v>
      </c>
      <c r="P141" s="95">
        <f t="shared" si="20"/>
        <v>0</v>
      </c>
    </row>
    <row r="142" spans="1:16" ht="23.25" customHeight="1">
      <c r="A142" s="40" t="s">
        <v>530</v>
      </c>
      <c r="B142" s="60" t="s">
        <v>477</v>
      </c>
      <c r="C142" s="102">
        <f>SUMPRODUCT((Diário!$E$4:$E$2662='Analítico Cx.'!$B142)*(Diário!$B$4:$B$2662&gt;=C$4)*(Diário!$B$4:$B$2662&lt;=EOMONTH(C$4,0))*(Diário!$F$4:$F$2662))</f>
        <v>82567.62999999999</v>
      </c>
      <c r="D142" s="102">
        <f>SUMPRODUCT((Diário!$E$4:$E$2662='Analítico Cx.'!$B142)*(Diário!$B$4:$B$2662&gt;=D$4)*(Diário!$B$4:$B$2662&lt;=EOMONTH(D$4,0))*(Diário!$F$4:$F$2662))</f>
        <v>100652.97</v>
      </c>
      <c r="E142" s="102">
        <f>SUMPRODUCT((Diário!$E$4:$E$2662='Analítico Cx.'!$B142)*(Diário!$B$4:$B$2662&gt;=E$4)*(Diário!$B$4:$B$2662&lt;=EOMONTH(E$4,0))*(Diário!$F$4:$F$2662))</f>
        <v>100468.64</v>
      </c>
      <c r="F142" s="102">
        <f>SUMPRODUCT((Diário!$E$4:$E$2662='Analítico Cx.'!$B142)*(Diário!$B$4:$B$2662&gt;=F$4)*(Diário!$B$4:$B$2662&lt;=EOMONTH(F$4,0))*(Diário!$F$4:$F$2662))</f>
        <v>101310.41</v>
      </c>
      <c r="G142" s="102">
        <f>SUMPRODUCT((Diário!$E$4:$E$2662='Analítico Cx.'!$B142)*(Diário!$B$4:$B$2662&gt;=G$4)*(Diário!$B$4:$B$2662&lt;=EOMONTH(G$4,0))*(Diário!$F$4:$F$2662))</f>
        <v>115794.05000000002</v>
      </c>
      <c r="H142" s="102">
        <f>SUMPRODUCT((Diário!$E$4:$E$2662='Analítico Cx.'!$B142)*(Diário!$B$4:$B$2662&gt;=H$4)*(Diário!$B$4:$B$2662&lt;=EOMONTH(H$4,0))*(Diário!$F$4:$F$2662))</f>
        <v>132264.03</v>
      </c>
      <c r="I142" s="102">
        <f>SUMPRODUCT((Diário!$E$4:$E$2662='Analítico Cx.'!$B142)*(Diário!$B$4:$B$2662&gt;=I$4)*(Diário!$B$4:$B$2662&lt;=EOMONTH(I$4,0))*(Diário!$F$4:$F$2662))</f>
        <v>0</v>
      </c>
      <c r="J142" s="102">
        <f>SUMPRODUCT((Diário!$E$4:$E$2662='Analítico Cx.'!$B142)*(Diário!$B$4:$B$2662&gt;=J$4)*(Diário!$B$4:$B$2662&lt;=EOMONTH(J$4,0))*(Diário!$F$4:$F$2662))</f>
        <v>0</v>
      </c>
      <c r="K142" s="102">
        <f>SUMPRODUCT((Diário!$E$4:$E$2662='Analítico Cx.'!$B142)*(Diário!$B$4:$B$2662&gt;=K$4)*(Diário!$B$4:$B$2662&lt;=EOMONTH(K$4,0))*(Diário!$F$4:$F$2662))</f>
        <v>0</v>
      </c>
      <c r="L142" s="102">
        <f>SUMPRODUCT((Diário!$E$4:$E$2662='Analítico Cx.'!$B142)*(Diário!$B$4:$B$2662&gt;=L$4)*(Diário!$B$4:$B$2662&lt;=EOMONTH(L$4,0))*(Diário!$F$4:$F$2662))</f>
        <v>0</v>
      </c>
      <c r="M142" s="102">
        <f>SUMPRODUCT((Diário!$E$4:$E$2662='Analítico Cx.'!$B142)*(Diário!$B$4:$B$2662&gt;=M$4)*(Diário!$B$4:$B$2662&lt;=EOMONTH(M$4,0))*(Diário!$F$4:$F$2662))</f>
        <v>0</v>
      </c>
      <c r="N142" s="102">
        <f>SUMPRODUCT((Diário!$E$4:$E$2662='Analítico Cx.'!$B142)*(Diário!$B$4:$B$2662&gt;=N$4)*(Diário!$B$4:$B$2662&lt;=EOMONTH(N$4,0))*(Diário!$F$4:$F$2662))</f>
        <v>0</v>
      </c>
      <c r="O142" s="103">
        <f t="shared" si="19"/>
        <v>633057.7300000001</v>
      </c>
      <c r="P142" s="95">
        <f t="shared" si="20"/>
        <v>3.268894613982036E-2</v>
      </c>
    </row>
    <row r="143" spans="1:16" ht="23.25" customHeight="1">
      <c r="A143" s="40" t="s">
        <v>531</v>
      </c>
      <c r="B143" s="60" t="s">
        <v>478</v>
      </c>
      <c r="C143" s="102">
        <f>SUMPRODUCT((Diário!$E$4:$E$2662='Analítico Cx.'!$B143)*(Diário!$B$4:$B$2662&gt;=C$4)*(Diário!$B$4:$B$2662&lt;=EOMONTH(C$4,0))*(Diário!$F$4:$F$2662))</f>
        <v>0</v>
      </c>
      <c r="D143" s="102">
        <f>SUMPRODUCT((Diário!$E$4:$E$2662='Analítico Cx.'!$B143)*(Diário!$B$4:$B$2662&gt;=D$4)*(Diário!$B$4:$B$2662&lt;=EOMONTH(D$4,0))*(Diário!$F$4:$F$2662))</f>
        <v>0</v>
      </c>
      <c r="E143" s="102">
        <f>SUMPRODUCT((Diário!$E$4:$E$2662='Analítico Cx.'!$B143)*(Diário!$B$4:$B$2662&gt;=E$4)*(Diário!$B$4:$B$2662&lt;=EOMONTH(E$4,0))*(Diário!$F$4:$F$2662))</f>
        <v>0</v>
      </c>
      <c r="F143" s="102">
        <f>SUMPRODUCT((Diário!$E$4:$E$2662='Analítico Cx.'!$B143)*(Diário!$B$4:$B$2662&gt;=F$4)*(Diário!$B$4:$B$2662&lt;=EOMONTH(F$4,0))*(Diário!$F$4:$F$2662))</f>
        <v>0</v>
      </c>
      <c r="G143" s="102">
        <f>SUMPRODUCT((Diário!$E$4:$E$2662='Analítico Cx.'!$B143)*(Diário!$B$4:$B$2662&gt;=G$4)*(Diário!$B$4:$B$2662&lt;=EOMONTH(G$4,0))*(Diário!$F$4:$F$2662))</f>
        <v>6851.7300000000005</v>
      </c>
      <c r="H143" s="102">
        <f>SUMPRODUCT((Diário!$E$4:$E$2662='Analítico Cx.'!$B143)*(Diário!$B$4:$B$2662&gt;=H$4)*(Diário!$B$4:$B$2662&lt;=EOMONTH(H$4,0))*(Diário!$F$4:$F$2662))</f>
        <v>18798.390100000001</v>
      </c>
      <c r="I143" s="102">
        <f>SUMPRODUCT((Diário!$E$4:$E$2662='Analítico Cx.'!$B143)*(Diário!$B$4:$B$2662&gt;=I$4)*(Diário!$B$4:$B$2662&lt;=EOMONTH(I$4,0))*(Diário!$F$4:$F$2662))</f>
        <v>0</v>
      </c>
      <c r="J143" s="102">
        <f>SUMPRODUCT((Diário!$E$4:$E$2662='Analítico Cx.'!$B143)*(Diário!$B$4:$B$2662&gt;=J$4)*(Diário!$B$4:$B$2662&lt;=EOMONTH(J$4,0))*(Diário!$F$4:$F$2662))</f>
        <v>0</v>
      </c>
      <c r="K143" s="102">
        <f>SUMPRODUCT((Diário!$E$4:$E$2662='Analítico Cx.'!$B143)*(Diário!$B$4:$B$2662&gt;=K$4)*(Diário!$B$4:$B$2662&lt;=EOMONTH(K$4,0))*(Diário!$F$4:$F$2662))</f>
        <v>0</v>
      </c>
      <c r="L143" s="102">
        <f>SUMPRODUCT((Diário!$E$4:$E$2662='Analítico Cx.'!$B143)*(Diário!$B$4:$B$2662&gt;=L$4)*(Diário!$B$4:$B$2662&lt;=EOMONTH(L$4,0))*(Diário!$F$4:$F$2662))</f>
        <v>0</v>
      </c>
      <c r="M143" s="102">
        <f>SUMPRODUCT((Diário!$E$4:$E$2662='Analítico Cx.'!$B143)*(Diário!$B$4:$B$2662&gt;=M$4)*(Diário!$B$4:$B$2662&lt;=EOMONTH(M$4,0))*(Diário!$F$4:$F$2662))</f>
        <v>0</v>
      </c>
      <c r="N143" s="102">
        <f>SUMPRODUCT((Diário!$E$4:$E$2662='Analítico Cx.'!$B143)*(Diário!$B$4:$B$2662&gt;=N$4)*(Diário!$B$4:$B$2662&lt;=EOMONTH(N$4,0))*(Diário!$F$4:$F$2662))</f>
        <v>0</v>
      </c>
      <c r="O143" s="103">
        <f t="shared" si="19"/>
        <v>25650.1201</v>
      </c>
      <c r="P143" s="95">
        <f t="shared" si="20"/>
        <v>1.3244848845441371E-3</v>
      </c>
    </row>
    <row r="144" spans="1:16" ht="23.25" customHeight="1">
      <c r="A144" s="40" t="s">
        <v>532</v>
      </c>
      <c r="B144" s="60" t="s">
        <v>479</v>
      </c>
      <c r="C144" s="102">
        <f>SUMPRODUCT((Diário!$E$4:$E$2662='Analítico Cx.'!$B144)*(Diário!$B$4:$B$2662&gt;=C$4)*(Diário!$B$4:$B$2662&lt;=EOMONTH(C$4,0))*(Diário!$F$4:$F$2662))</f>
        <v>0</v>
      </c>
      <c r="D144" s="102">
        <f>SUMPRODUCT((Diário!$E$4:$E$2662='Analítico Cx.'!$B144)*(Diário!$B$4:$B$2662&gt;=D$4)*(Diário!$B$4:$B$2662&lt;=EOMONTH(D$4,0))*(Diário!$F$4:$F$2662))</f>
        <v>2882.88</v>
      </c>
      <c r="E144" s="102">
        <f>SUMPRODUCT((Diário!$E$4:$E$2662='Analítico Cx.'!$B144)*(Diário!$B$4:$B$2662&gt;=E$4)*(Diário!$B$4:$B$2662&lt;=EOMONTH(E$4,0))*(Diário!$F$4:$F$2662))</f>
        <v>0</v>
      </c>
      <c r="F144" s="102">
        <f>SUMPRODUCT((Diário!$E$4:$E$2662='Analítico Cx.'!$B144)*(Diário!$B$4:$B$2662&gt;=F$4)*(Diário!$B$4:$B$2662&lt;=EOMONTH(F$4,0))*(Diário!$F$4:$F$2662))</f>
        <v>0</v>
      </c>
      <c r="G144" s="102">
        <f>SUMPRODUCT((Diário!$E$4:$E$2662='Analítico Cx.'!$B144)*(Diário!$B$4:$B$2662&gt;=G$4)*(Diário!$B$4:$B$2662&lt;=EOMONTH(G$4,0))*(Diário!$F$4:$F$2662))</f>
        <v>0</v>
      </c>
      <c r="H144" s="102">
        <f>SUMPRODUCT((Diário!$E$4:$E$2662='Analítico Cx.'!$B144)*(Diário!$B$4:$B$2662&gt;=H$4)*(Diário!$B$4:$B$2662&lt;=EOMONTH(H$4,0))*(Diário!$F$4:$F$2662))</f>
        <v>0</v>
      </c>
      <c r="I144" s="102">
        <f>SUMPRODUCT((Diário!$E$4:$E$2662='Analítico Cx.'!$B144)*(Diário!$B$4:$B$2662&gt;=I$4)*(Diário!$B$4:$B$2662&lt;=EOMONTH(I$4,0))*(Diário!$F$4:$F$2662))</f>
        <v>0</v>
      </c>
      <c r="J144" s="102">
        <f>SUMPRODUCT((Diário!$E$4:$E$2662='Analítico Cx.'!$B144)*(Diário!$B$4:$B$2662&gt;=J$4)*(Diário!$B$4:$B$2662&lt;=EOMONTH(J$4,0))*(Diário!$F$4:$F$2662))</f>
        <v>0</v>
      </c>
      <c r="K144" s="102">
        <f>SUMPRODUCT((Diário!$E$4:$E$2662='Analítico Cx.'!$B144)*(Diário!$B$4:$B$2662&gt;=K$4)*(Diário!$B$4:$B$2662&lt;=EOMONTH(K$4,0))*(Diário!$F$4:$F$2662))</f>
        <v>0</v>
      </c>
      <c r="L144" s="102">
        <f>SUMPRODUCT((Diário!$E$4:$E$2662='Analítico Cx.'!$B144)*(Diário!$B$4:$B$2662&gt;=L$4)*(Diário!$B$4:$B$2662&lt;=EOMONTH(L$4,0))*(Diário!$F$4:$F$2662))</f>
        <v>0</v>
      </c>
      <c r="M144" s="102">
        <f>SUMPRODUCT((Diário!$E$4:$E$2662='Analítico Cx.'!$B144)*(Diário!$B$4:$B$2662&gt;=M$4)*(Diário!$B$4:$B$2662&lt;=EOMONTH(M$4,0))*(Diário!$F$4:$F$2662))</f>
        <v>0</v>
      </c>
      <c r="N144" s="102">
        <f>SUMPRODUCT((Diário!$E$4:$E$2662='Analítico Cx.'!$B144)*(Diário!$B$4:$B$2662&gt;=N$4)*(Diário!$B$4:$B$2662&lt;=EOMONTH(N$4,0))*(Diário!$F$4:$F$2662))</f>
        <v>0</v>
      </c>
      <c r="O144" s="103">
        <f t="shared" si="19"/>
        <v>2882.88</v>
      </c>
      <c r="P144" s="95">
        <f t="shared" si="20"/>
        <v>1.488621093807121E-4</v>
      </c>
    </row>
    <row r="145" spans="1:16" ht="23.25" customHeight="1">
      <c r="A145" s="40" t="s">
        <v>533</v>
      </c>
      <c r="B145" s="60" t="s">
        <v>480</v>
      </c>
      <c r="C145" s="102">
        <f>SUMPRODUCT((Diário!$E$4:$E$2662='Analítico Cx.'!$B145)*(Diário!$B$4:$B$2662&gt;=C$4)*(Diário!$B$4:$B$2662&lt;=EOMONTH(C$4,0))*(Diário!$F$4:$F$2662))</f>
        <v>1380.65</v>
      </c>
      <c r="D145" s="102">
        <f>SUMPRODUCT((Diário!$E$4:$E$2662='Analítico Cx.'!$B145)*(Diário!$B$4:$B$2662&gt;=D$4)*(Diário!$B$4:$B$2662&lt;=EOMONTH(D$4,0))*(Diário!$F$4:$F$2662))</f>
        <v>36.69</v>
      </c>
      <c r="E145" s="102">
        <f>SUMPRODUCT((Diário!$E$4:$E$2662='Analítico Cx.'!$B145)*(Diário!$B$4:$B$2662&gt;=E$4)*(Diário!$B$4:$B$2662&lt;=EOMONTH(E$4,0))*(Diário!$F$4:$F$2662))</f>
        <v>2498.42</v>
      </c>
      <c r="F145" s="102">
        <f>SUMPRODUCT((Diário!$E$4:$E$2662='Analítico Cx.'!$B145)*(Diário!$B$4:$B$2662&gt;=F$4)*(Diário!$B$4:$B$2662&lt;=EOMONTH(F$4,0))*(Diário!$F$4:$F$2662))</f>
        <v>6844.21</v>
      </c>
      <c r="G145" s="102">
        <f>SUMPRODUCT((Diário!$E$4:$E$2662='Analítico Cx.'!$B145)*(Diário!$B$4:$B$2662&gt;=G$4)*(Diário!$B$4:$B$2662&lt;=EOMONTH(G$4,0))*(Diário!$F$4:$F$2662))</f>
        <v>8606.65</v>
      </c>
      <c r="H145" s="102">
        <f>SUMPRODUCT((Diário!$E$4:$E$2662='Analítico Cx.'!$B145)*(Diário!$B$4:$B$2662&gt;=H$4)*(Diário!$B$4:$B$2662&lt;=EOMONTH(H$4,0))*(Diário!$F$4:$F$2662))</f>
        <v>6907.1100000000006</v>
      </c>
      <c r="I145" s="102">
        <f>SUMPRODUCT((Diário!$E$4:$E$2662='Analítico Cx.'!$B145)*(Diário!$B$4:$B$2662&gt;=I$4)*(Diário!$B$4:$B$2662&lt;=EOMONTH(I$4,0))*(Diário!$F$4:$F$2662))</f>
        <v>0</v>
      </c>
      <c r="J145" s="102">
        <f>SUMPRODUCT((Diário!$E$4:$E$2662='Analítico Cx.'!$B145)*(Diário!$B$4:$B$2662&gt;=J$4)*(Diário!$B$4:$B$2662&lt;=EOMONTH(J$4,0))*(Diário!$F$4:$F$2662))</f>
        <v>0</v>
      </c>
      <c r="K145" s="102">
        <f>SUMPRODUCT((Diário!$E$4:$E$2662='Analítico Cx.'!$B145)*(Diário!$B$4:$B$2662&gt;=K$4)*(Diário!$B$4:$B$2662&lt;=EOMONTH(K$4,0))*(Diário!$F$4:$F$2662))</f>
        <v>0</v>
      </c>
      <c r="L145" s="102">
        <f>SUMPRODUCT((Diário!$E$4:$E$2662='Analítico Cx.'!$B145)*(Diário!$B$4:$B$2662&gt;=L$4)*(Diário!$B$4:$B$2662&lt;=EOMONTH(L$4,0))*(Diário!$F$4:$F$2662))</f>
        <v>0</v>
      </c>
      <c r="M145" s="102">
        <f>SUMPRODUCT((Diário!$E$4:$E$2662='Analítico Cx.'!$B145)*(Diário!$B$4:$B$2662&gt;=M$4)*(Diário!$B$4:$B$2662&lt;=EOMONTH(M$4,0))*(Diário!$F$4:$F$2662))</f>
        <v>0</v>
      </c>
      <c r="N145" s="102">
        <f>SUMPRODUCT((Diário!$E$4:$E$2662='Analítico Cx.'!$B145)*(Diário!$B$4:$B$2662&gt;=N$4)*(Diário!$B$4:$B$2662&lt;=EOMONTH(N$4,0))*(Diário!$F$4:$F$2662))</f>
        <v>0</v>
      </c>
      <c r="O145" s="103">
        <f t="shared" si="19"/>
        <v>26273.730000000003</v>
      </c>
      <c r="P145" s="95">
        <f t="shared" si="20"/>
        <v>1.3566859769047956E-3</v>
      </c>
    </row>
    <row r="146" spans="1:16" ht="23.25" customHeight="1">
      <c r="A146" s="40" t="s">
        <v>534</v>
      </c>
      <c r="B146" s="60" t="s">
        <v>481</v>
      </c>
      <c r="C146" s="102">
        <f>SUMPRODUCT((Diário!$E$4:$E$2662='Analítico Cx.'!$B146)*(Diário!$B$4:$B$2662&gt;=C$4)*(Diário!$B$4:$B$2662&lt;=EOMONTH(C$4,0))*(Diário!$F$4:$F$2662))</f>
        <v>8059.1</v>
      </c>
      <c r="D146" s="102">
        <f>SUMPRODUCT((Diário!$E$4:$E$2662='Analítico Cx.'!$B146)*(Diário!$B$4:$B$2662&gt;=D$4)*(Diário!$B$4:$B$2662&lt;=EOMONTH(D$4,0))*(Diário!$F$4:$F$2662))</f>
        <v>150.75</v>
      </c>
      <c r="E146" s="102">
        <f>SUMPRODUCT((Diário!$E$4:$E$2662='Analítico Cx.'!$B146)*(Diário!$B$4:$B$2662&gt;=E$4)*(Diário!$B$4:$B$2662&lt;=EOMONTH(E$4,0))*(Diário!$F$4:$F$2662))</f>
        <v>0</v>
      </c>
      <c r="F146" s="102">
        <f>SUMPRODUCT((Diário!$E$4:$E$2662='Analítico Cx.'!$B146)*(Diário!$B$4:$B$2662&gt;=F$4)*(Diário!$B$4:$B$2662&lt;=EOMONTH(F$4,0))*(Diário!$F$4:$F$2662))</f>
        <v>0</v>
      </c>
      <c r="G146" s="102">
        <f>SUMPRODUCT((Diário!$E$4:$E$2662='Analítico Cx.'!$B146)*(Diário!$B$4:$B$2662&gt;=G$4)*(Diário!$B$4:$B$2662&lt;=EOMONTH(G$4,0))*(Diário!$F$4:$F$2662))</f>
        <v>2509</v>
      </c>
      <c r="H146" s="102">
        <f>SUMPRODUCT((Diário!$E$4:$E$2662='Analítico Cx.'!$B146)*(Diário!$B$4:$B$2662&gt;=H$4)*(Diário!$B$4:$B$2662&lt;=EOMONTH(H$4,0))*(Diário!$F$4:$F$2662))</f>
        <v>5830.65</v>
      </c>
      <c r="I146" s="102">
        <f>SUMPRODUCT((Diário!$E$4:$E$2662='Analítico Cx.'!$B146)*(Diário!$B$4:$B$2662&gt;=I$4)*(Diário!$B$4:$B$2662&lt;=EOMONTH(I$4,0))*(Diário!$F$4:$F$2662))</f>
        <v>0</v>
      </c>
      <c r="J146" s="102">
        <f>SUMPRODUCT((Diário!$E$4:$E$2662='Analítico Cx.'!$B146)*(Diário!$B$4:$B$2662&gt;=J$4)*(Diário!$B$4:$B$2662&lt;=EOMONTH(J$4,0))*(Diário!$F$4:$F$2662))</f>
        <v>0</v>
      </c>
      <c r="K146" s="102">
        <f>SUMPRODUCT((Diário!$E$4:$E$2662='Analítico Cx.'!$B146)*(Diário!$B$4:$B$2662&gt;=K$4)*(Diário!$B$4:$B$2662&lt;=EOMONTH(K$4,0))*(Diário!$F$4:$F$2662))</f>
        <v>0</v>
      </c>
      <c r="L146" s="102">
        <f>SUMPRODUCT((Diário!$E$4:$E$2662='Analítico Cx.'!$B146)*(Diário!$B$4:$B$2662&gt;=L$4)*(Diário!$B$4:$B$2662&lt;=EOMONTH(L$4,0))*(Diário!$F$4:$F$2662))</f>
        <v>0</v>
      </c>
      <c r="M146" s="102">
        <f>SUMPRODUCT((Diário!$E$4:$E$2662='Analítico Cx.'!$B146)*(Diário!$B$4:$B$2662&gt;=M$4)*(Diário!$B$4:$B$2662&lt;=EOMONTH(M$4,0))*(Diário!$F$4:$F$2662))</f>
        <v>0</v>
      </c>
      <c r="N146" s="102">
        <f>SUMPRODUCT((Diário!$E$4:$E$2662='Analítico Cx.'!$B146)*(Diário!$B$4:$B$2662&gt;=N$4)*(Diário!$B$4:$B$2662&lt;=EOMONTH(N$4,0))*(Diário!$F$4:$F$2662))</f>
        <v>0</v>
      </c>
      <c r="O146" s="103">
        <f t="shared" si="19"/>
        <v>16549.5</v>
      </c>
      <c r="P146" s="95">
        <f t="shared" si="20"/>
        <v>8.5455984265598803E-4</v>
      </c>
    </row>
    <row r="147" spans="1:16" ht="23.25" customHeight="1">
      <c r="A147" s="40" t="s">
        <v>535</v>
      </c>
      <c r="B147" s="60" t="s">
        <v>482</v>
      </c>
      <c r="C147" s="102">
        <f>SUMPRODUCT((Diário!$E$4:$E$2662='Analítico Cx.'!$B147)*(Diário!$B$4:$B$2662&gt;=C$4)*(Diário!$B$4:$B$2662&lt;=EOMONTH(C$4,0))*(Diário!$F$4:$F$2662))</f>
        <v>0</v>
      </c>
      <c r="D147" s="102">
        <f>SUMPRODUCT((Diário!$E$4:$E$2662='Analítico Cx.'!$B147)*(Diário!$B$4:$B$2662&gt;=D$4)*(Diário!$B$4:$B$2662&lt;=EOMONTH(D$4,0))*(Diário!$F$4:$F$2662))</f>
        <v>0</v>
      </c>
      <c r="E147" s="102">
        <f>SUMPRODUCT((Diário!$E$4:$E$2662='Analítico Cx.'!$B147)*(Diário!$B$4:$B$2662&gt;=E$4)*(Diário!$B$4:$B$2662&lt;=EOMONTH(E$4,0))*(Diário!$F$4:$F$2662))</f>
        <v>0</v>
      </c>
      <c r="F147" s="102">
        <f>SUMPRODUCT((Diário!$E$4:$E$2662='Analítico Cx.'!$B147)*(Diário!$B$4:$B$2662&gt;=F$4)*(Diário!$B$4:$B$2662&lt;=EOMONTH(F$4,0))*(Diário!$F$4:$F$2662))</f>
        <v>0</v>
      </c>
      <c r="G147" s="102">
        <f>SUMPRODUCT((Diário!$E$4:$E$2662='Analítico Cx.'!$B147)*(Diário!$B$4:$B$2662&gt;=G$4)*(Diário!$B$4:$B$2662&lt;=EOMONTH(G$4,0))*(Diário!$F$4:$F$2662))</f>
        <v>5115.95</v>
      </c>
      <c r="H147" s="102">
        <f>SUMPRODUCT((Diário!$E$4:$E$2662='Analítico Cx.'!$B147)*(Diário!$B$4:$B$2662&gt;=H$4)*(Diário!$B$4:$B$2662&lt;=EOMONTH(H$4,0))*(Diário!$F$4:$F$2662))</f>
        <v>148470.83000000002</v>
      </c>
      <c r="I147" s="102">
        <f>SUMPRODUCT((Diário!$E$4:$E$2662='Analítico Cx.'!$B147)*(Diário!$B$4:$B$2662&gt;=I$4)*(Diário!$B$4:$B$2662&lt;=EOMONTH(I$4,0))*(Diário!$F$4:$F$2662))</f>
        <v>0</v>
      </c>
      <c r="J147" s="102">
        <f>SUMPRODUCT((Diário!$E$4:$E$2662='Analítico Cx.'!$B147)*(Diário!$B$4:$B$2662&gt;=J$4)*(Diário!$B$4:$B$2662&lt;=EOMONTH(J$4,0))*(Diário!$F$4:$F$2662))</f>
        <v>0</v>
      </c>
      <c r="K147" s="102">
        <f>SUMPRODUCT((Diário!$E$4:$E$2662='Analítico Cx.'!$B147)*(Diário!$B$4:$B$2662&gt;=K$4)*(Diário!$B$4:$B$2662&lt;=EOMONTH(K$4,0))*(Diário!$F$4:$F$2662))</f>
        <v>0</v>
      </c>
      <c r="L147" s="102">
        <f>SUMPRODUCT((Diário!$E$4:$E$2662='Analítico Cx.'!$B147)*(Diário!$B$4:$B$2662&gt;=L$4)*(Diário!$B$4:$B$2662&lt;=EOMONTH(L$4,0))*(Diário!$F$4:$F$2662))</f>
        <v>0</v>
      </c>
      <c r="M147" s="102">
        <f>SUMPRODUCT((Diário!$E$4:$E$2662='Analítico Cx.'!$B147)*(Diário!$B$4:$B$2662&gt;=M$4)*(Diário!$B$4:$B$2662&lt;=EOMONTH(M$4,0))*(Diário!$F$4:$F$2662))</f>
        <v>0</v>
      </c>
      <c r="N147" s="102">
        <f>SUMPRODUCT((Diário!$E$4:$E$2662='Analítico Cx.'!$B147)*(Diário!$B$4:$B$2662&gt;=N$4)*(Diário!$B$4:$B$2662&lt;=EOMONTH(N$4,0))*(Diário!$F$4:$F$2662))</f>
        <v>0</v>
      </c>
      <c r="O147" s="103">
        <f t="shared" si="19"/>
        <v>153586.78000000003</v>
      </c>
      <c r="P147" s="95">
        <f t="shared" si="20"/>
        <v>7.9306984833886155E-3</v>
      </c>
    </row>
    <row r="148" spans="1:16" ht="23.25" customHeight="1">
      <c r="A148" s="40" t="s">
        <v>536</v>
      </c>
      <c r="B148" s="60" t="s">
        <v>483</v>
      </c>
      <c r="C148" s="102">
        <f>SUMPRODUCT((Diário!$E$4:$E$2662='Analítico Cx.'!$B148)*(Diário!$B$4:$B$2662&gt;=C$4)*(Diário!$B$4:$B$2662&lt;=EOMONTH(C$4,0))*(Diário!$F$4:$F$2662))</f>
        <v>0</v>
      </c>
      <c r="D148" s="102">
        <f>SUMPRODUCT((Diário!$E$4:$E$2662='Analítico Cx.'!$B148)*(Diário!$B$4:$B$2662&gt;=D$4)*(Diário!$B$4:$B$2662&lt;=EOMONTH(D$4,0))*(Diário!$F$4:$F$2662))</f>
        <v>0</v>
      </c>
      <c r="E148" s="102">
        <f>SUMPRODUCT((Diário!$E$4:$E$2662='Analítico Cx.'!$B148)*(Diário!$B$4:$B$2662&gt;=E$4)*(Diário!$B$4:$B$2662&lt;=EOMONTH(E$4,0))*(Diário!$F$4:$F$2662))</f>
        <v>0</v>
      </c>
      <c r="F148" s="102">
        <f>SUMPRODUCT((Diário!$E$4:$E$2662='Analítico Cx.'!$B148)*(Diário!$B$4:$B$2662&gt;=F$4)*(Diário!$B$4:$B$2662&lt;=EOMONTH(F$4,0))*(Diário!$F$4:$F$2662))</f>
        <v>0</v>
      </c>
      <c r="G148" s="102">
        <f>SUMPRODUCT((Diário!$E$4:$E$2662='Analítico Cx.'!$B148)*(Diário!$B$4:$B$2662&gt;=G$4)*(Diário!$B$4:$B$2662&lt;=EOMONTH(G$4,0))*(Diário!$F$4:$F$2662))</f>
        <v>0</v>
      </c>
      <c r="H148" s="102">
        <f>SUMPRODUCT((Diário!$E$4:$E$2662='Analítico Cx.'!$B148)*(Diário!$B$4:$B$2662&gt;=H$4)*(Diário!$B$4:$B$2662&lt;=EOMONTH(H$4,0))*(Diário!$F$4:$F$2662))</f>
        <v>0</v>
      </c>
      <c r="I148" s="102">
        <f>SUMPRODUCT((Diário!$E$4:$E$2662='Analítico Cx.'!$B148)*(Diário!$B$4:$B$2662&gt;=I$4)*(Diário!$B$4:$B$2662&lt;=EOMONTH(I$4,0))*(Diário!$F$4:$F$2662))</f>
        <v>0</v>
      </c>
      <c r="J148" s="102">
        <f>SUMPRODUCT((Diário!$E$4:$E$2662='Analítico Cx.'!$B148)*(Diário!$B$4:$B$2662&gt;=J$4)*(Diário!$B$4:$B$2662&lt;=EOMONTH(J$4,0))*(Diário!$F$4:$F$2662))</f>
        <v>0</v>
      </c>
      <c r="K148" s="102">
        <f>SUMPRODUCT((Diário!$E$4:$E$2662='Analítico Cx.'!$B148)*(Diário!$B$4:$B$2662&gt;=K$4)*(Diário!$B$4:$B$2662&lt;=EOMONTH(K$4,0))*(Diário!$F$4:$F$2662))</f>
        <v>0</v>
      </c>
      <c r="L148" s="102">
        <f>SUMPRODUCT((Diário!$E$4:$E$2662='Analítico Cx.'!$B148)*(Diário!$B$4:$B$2662&gt;=L$4)*(Diário!$B$4:$B$2662&lt;=EOMONTH(L$4,0))*(Diário!$F$4:$F$2662))</f>
        <v>0</v>
      </c>
      <c r="M148" s="102">
        <f>SUMPRODUCT((Diário!$E$4:$E$2662='Analítico Cx.'!$B148)*(Diário!$B$4:$B$2662&gt;=M$4)*(Diário!$B$4:$B$2662&lt;=EOMONTH(M$4,0))*(Diário!$F$4:$F$2662))</f>
        <v>0</v>
      </c>
      <c r="N148" s="102">
        <f>SUMPRODUCT((Diário!$E$4:$E$2662='Analítico Cx.'!$B148)*(Diário!$B$4:$B$2662&gt;=N$4)*(Diário!$B$4:$B$2662&lt;=EOMONTH(N$4,0))*(Diário!$F$4:$F$2662))</f>
        <v>0</v>
      </c>
      <c r="O148" s="103">
        <f t="shared" si="19"/>
        <v>0</v>
      </c>
      <c r="P148" s="95">
        <f t="shared" si="20"/>
        <v>0</v>
      </c>
    </row>
    <row r="149" spans="1:16" ht="23.25" customHeight="1">
      <c r="A149" s="40" t="s">
        <v>537</v>
      </c>
      <c r="B149" s="60" t="s">
        <v>484</v>
      </c>
      <c r="C149" s="102">
        <f>SUMPRODUCT((Diário!$E$4:$E$2662='Analítico Cx.'!$B149)*(Diário!$B$4:$B$2662&gt;=C$4)*(Diário!$B$4:$B$2662&lt;=EOMONTH(C$4,0))*(Diário!$F$4:$F$2662))</f>
        <v>0</v>
      </c>
      <c r="D149" s="102">
        <f>SUMPRODUCT((Diário!$E$4:$E$2662='Analítico Cx.'!$B149)*(Diário!$B$4:$B$2662&gt;=D$4)*(Diário!$B$4:$B$2662&lt;=EOMONTH(D$4,0))*(Diário!$F$4:$F$2662))</f>
        <v>0</v>
      </c>
      <c r="E149" s="102">
        <f>SUMPRODUCT((Diário!$E$4:$E$2662='Analítico Cx.'!$B149)*(Diário!$B$4:$B$2662&gt;=E$4)*(Diário!$B$4:$B$2662&lt;=EOMONTH(E$4,0))*(Diário!$F$4:$F$2662))</f>
        <v>0</v>
      </c>
      <c r="F149" s="102">
        <f>SUMPRODUCT((Diário!$E$4:$E$2662='Analítico Cx.'!$B149)*(Diário!$B$4:$B$2662&gt;=F$4)*(Diário!$B$4:$B$2662&lt;=EOMONTH(F$4,0))*(Diário!$F$4:$F$2662))</f>
        <v>0</v>
      </c>
      <c r="G149" s="102">
        <f>SUMPRODUCT((Diário!$E$4:$E$2662='Analítico Cx.'!$B149)*(Diário!$B$4:$B$2662&gt;=G$4)*(Diário!$B$4:$B$2662&lt;=EOMONTH(G$4,0))*(Diário!$F$4:$F$2662))</f>
        <v>0</v>
      </c>
      <c r="H149" s="102">
        <f>SUMPRODUCT((Diário!$E$4:$E$2662='Analítico Cx.'!$B149)*(Diário!$B$4:$B$2662&gt;=H$4)*(Diário!$B$4:$B$2662&lt;=EOMONTH(H$4,0))*(Diário!$F$4:$F$2662))</f>
        <v>2800</v>
      </c>
      <c r="I149" s="102">
        <f>SUMPRODUCT((Diário!$E$4:$E$2662='Analítico Cx.'!$B149)*(Diário!$B$4:$B$2662&gt;=I$4)*(Diário!$B$4:$B$2662&lt;=EOMONTH(I$4,0))*(Diário!$F$4:$F$2662))</f>
        <v>0</v>
      </c>
      <c r="J149" s="102">
        <f>SUMPRODUCT((Diário!$E$4:$E$2662='Analítico Cx.'!$B149)*(Diário!$B$4:$B$2662&gt;=J$4)*(Diário!$B$4:$B$2662&lt;=EOMONTH(J$4,0))*(Diário!$F$4:$F$2662))</f>
        <v>0</v>
      </c>
      <c r="K149" s="102">
        <f>SUMPRODUCT((Diário!$E$4:$E$2662='Analítico Cx.'!$B149)*(Diário!$B$4:$B$2662&gt;=K$4)*(Diário!$B$4:$B$2662&lt;=EOMONTH(K$4,0))*(Diário!$F$4:$F$2662))</f>
        <v>0</v>
      </c>
      <c r="L149" s="102">
        <f>SUMPRODUCT((Diário!$E$4:$E$2662='Analítico Cx.'!$B149)*(Diário!$B$4:$B$2662&gt;=L$4)*(Diário!$B$4:$B$2662&lt;=EOMONTH(L$4,0))*(Diário!$F$4:$F$2662))</f>
        <v>0</v>
      </c>
      <c r="M149" s="102">
        <f>SUMPRODUCT((Diário!$E$4:$E$2662='Analítico Cx.'!$B149)*(Diário!$B$4:$B$2662&gt;=M$4)*(Diário!$B$4:$B$2662&lt;=EOMONTH(M$4,0))*(Diário!$F$4:$F$2662))</f>
        <v>0</v>
      </c>
      <c r="N149" s="102">
        <f>SUMPRODUCT((Diário!$E$4:$E$2662='Analítico Cx.'!$B149)*(Diário!$B$4:$B$2662&gt;=N$4)*(Diário!$B$4:$B$2662&lt;=EOMONTH(N$4,0))*(Diário!$F$4:$F$2662))</f>
        <v>0</v>
      </c>
      <c r="O149" s="103">
        <f t="shared" si="19"/>
        <v>2800</v>
      </c>
      <c r="P149" s="95">
        <f t="shared" si="20"/>
        <v>1.4458246831848494E-4</v>
      </c>
    </row>
    <row r="150" spans="1:16" ht="23.25" customHeight="1">
      <c r="A150" s="40" t="s">
        <v>538</v>
      </c>
      <c r="B150" s="60" t="s">
        <v>485</v>
      </c>
      <c r="C150" s="102">
        <f>SUMPRODUCT((Diário!$E$4:$E$2662='Analítico Cx.'!$B150)*(Diário!$B$4:$B$2662&gt;=C$4)*(Diário!$B$4:$B$2662&lt;=EOMONTH(C$4,0))*(Diário!$F$4:$F$2662))</f>
        <v>137.55000000000001</v>
      </c>
      <c r="D150" s="102">
        <f>SUMPRODUCT((Diário!$E$4:$E$2662='Analítico Cx.'!$B150)*(Diário!$B$4:$B$2662&gt;=D$4)*(Diário!$B$4:$B$2662&lt;=EOMONTH(D$4,0))*(Diário!$F$4:$F$2662))</f>
        <v>0</v>
      </c>
      <c r="E150" s="102">
        <f>SUMPRODUCT((Diário!$E$4:$E$2662='Analítico Cx.'!$B150)*(Diário!$B$4:$B$2662&gt;=E$4)*(Diário!$B$4:$B$2662&lt;=EOMONTH(E$4,0))*(Diário!$F$4:$F$2662))</f>
        <v>0</v>
      </c>
      <c r="F150" s="102">
        <f>SUMPRODUCT((Diário!$E$4:$E$2662='Analítico Cx.'!$B150)*(Diário!$B$4:$B$2662&gt;=F$4)*(Diário!$B$4:$B$2662&lt;=EOMONTH(F$4,0))*(Diário!$F$4:$F$2662))</f>
        <v>0</v>
      </c>
      <c r="G150" s="102">
        <f>SUMPRODUCT((Diário!$E$4:$E$2662='Analítico Cx.'!$B150)*(Diário!$B$4:$B$2662&gt;=G$4)*(Diário!$B$4:$B$2662&lt;=EOMONTH(G$4,0))*(Diário!$F$4:$F$2662))</f>
        <v>0</v>
      </c>
      <c r="H150" s="102">
        <f>SUMPRODUCT((Diário!$E$4:$E$2662='Analítico Cx.'!$B150)*(Diário!$B$4:$B$2662&gt;=H$4)*(Diário!$B$4:$B$2662&lt;=EOMONTH(H$4,0))*(Diário!$F$4:$F$2662))</f>
        <v>2580</v>
      </c>
      <c r="I150" s="102">
        <f>SUMPRODUCT((Diário!$E$4:$E$2662='Analítico Cx.'!$B150)*(Diário!$B$4:$B$2662&gt;=I$4)*(Diário!$B$4:$B$2662&lt;=EOMONTH(I$4,0))*(Diário!$F$4:$F$2662))</f>
        <v>0</v>
      </c>
      <c r="J150" s="102">
        <f>SUMPRODUCT((Diário!$E$4:$E$2662='Analítico Cx.'!$B150)*(Diário!$B$4:$B$2662&gt;=J$4)*(Diário!$B$4:$B$2662&lt;=EOMONTH(J$4,0))*(Diário!$F$4:$F$2662))</f>
        <v>0</v>
      </c>
      <c r="K150" s="102">
        <f>SUMPRODUCT((Diário!$E$4:$E$2662='Analítico Cx.'!$B150)*(Diário!$B$4:$B$2662&gt;=K$4)*(Diário!$B$4:$B$2662&lt;=EOMONTH(K$4,0))*(Diário!$F$4:$F$2662))</f>
        <v>0</v>
      </c>
      <c r="L150" s="102">
        <f>SUMPRODUCT((Diário!$E$4:$E$2662='Analítico Cx.'!$B150)*(Diário!$B$4:$B$2662&gt;=L$4)*(Diário!$B$4:$B$2662&lt;=EOMONTH(L$4,0))*(Diário!$F$4:$F$2662))</f>
        <v>0</v>
      </c>
      <c r="M150" s="102">
        <f>SUMPRODUCT((Diário!$E$4:$E$2662='Analítico Cx.'!$B150)*(Diário!$B$4:$B$2662&gt;=M$4)*(Diário!$B$4:$B$2662&lt;=EOMONTH(M$4,0))*(Diário!$F$4:$F$2662))</f>
        <v>0</v>
      </c>
      <c r="N150" s="102">
        <f>SUMPRODUCT((Diário!$E$4:$E$2662='Analítico Cx.'!$B150)*(Diário!$B$4:$B$2662&gt;=N$4)*(Diário!$B$4:$B$2662&lt;=EOMONTH(N$4,0))*(Diário!$F$4:$F$2662))</f>
        <v>0</v>
      </c>
      <c r="O150" s="103">
        <f t="shared" si="19"/>
        <v>2717.55</v>
      </c>
      <c r="P150" s="95">
        <f t="shared" si="20"/>
        <v>1.4032503099246384E-4</v>
      </c>
    </row>
    <row r="151" spans="1:16" ht="23.25" customHeight="1">
      <c r="A151" s="40" t="s">
        <v>539</v>
      </c>
      <c r="B151" s="60" t="s">
        <v>486</v>
      </c>
      <c r="C151" s="102">
        <f>SUMPRODUCT((Diário!$E$4:$E$2662='Analítico Cx.'!$B151)*(Diário!$B$4:$B$2662&gt;=C$4)*(Diário!$B$4:$B$2662&lt;=EOMONTH(C$4,0))*(Diário!$F$4:$F$2662))</f>
        <v>0</v>
      </c>
      <c r="D151" s="102">
        <f>SUMPRODUCT((Diário!$E$4:$E$2662='Analítico Cx.'!$B151)*(Diário!$B$4:$B$2662&gt;=D$4)*(Diário!$B$4:$B$2662&lt;=EOMONTH(D$4,0))*(Diário!$F$4:$F$2662))</f>
        <v>0</v>
      </c>
      <c r="E151" s="102">
        <f>SUMPRODUCT((Diário!$E$4:$E$2662='Analítico Cx.'!$B151)*(Diário!$B$4:$B$2662&gt;=E$4)*(Diário!$B$4:$B$2662&lt;=EOMONTH(E$4,0))*(Diário!$F$4:$F$2662))</f>
        <v>0</v>
      </c>
      <c r="F151" s="102">
        <f>SUMPRODUCT((Diário!$E$4:$E$2662='Analítico Cx.'!$B151)*(Diário!$B$4:$B$2662&gt;=F$4)*(Diário!$B$4:$B$2662&lt;=EOMONTH(F$4,0))*(Diário!$F$4:$F$2662))</f>
        <v>0</v>
      </c>
      <c r="G151" s="102">
        <f>SUMPRODUCT((Diário!$E$4:$E$2662='Analítico Cx.'!$B151)*(Diário!$B$4:$B$2662&gt;=G$4)*(Diário!$B$4:$B$2662&lt;=EOMONTH(G$4,0))*(Diário!$F$4:$F$2662))</f>
        <v>0</v>
      </c>
      <c r="H151" s="102">
        <f>SUMPRODUCT((Diário!$E$4:$E$2662='Analítico Cx.'!$B151)*(Diário!$B$4:$B$2662&gt;=H$4)*(Diário!$B$4:$B$2662&lt;=EOMONTH(H$4,0))*(Diário!$F$4:$F$2662))</f>
        <v>0</v>
      </c>
      <c r="I151" s="102">
        <f>SUMPRODUCT((Diário!$E$4:$E$2662='Analítico Cx.'!$B151)*(Diário!$B$4:$B$2662&gt;=I$4)*(Diário!$B$4:$B$2662&lt;=EOMONTH(I$4,0))*(Diário!$F$4:$F$2662))</f>
        <v>0</v>
      </c>
      <c r="J151" s="102">
        <f>SUMPRODUCT((Diário!$E$4:$E$2662='Analítico Cx.'!$B151)*(Diário!$B$4:$B$2662&gt;=J$4)*(Diário!$B$4:$B$2662&lt;=EOMONTH(J$4,0))*(Diário!$F$4:$F$2662))</f>
        <v>0</v>
      </c>
      <c r="K151" s="102">
        <f>SUMPRODUCT((Diário!$E$4:$E$2662='Analítico Cx.'!$B151)*(Diário!$B$4:$B$2662&gt;=K$4)*(Diário!$B$4:$B$2662&lt;=EOMONTH(K$4,0))*(Diário!$F$4:$F$2662))</f>
        <v>0</v>
      </c>
      <c r="L151" s="102">
        <f>SUMPRODUCT((Diário!$E$4:$E$2662='Analítico Cx.'!$B151)*(Diário!$B$4:$B$2662&gt;=L$4)*(Diário!$B$4:$B$2662&lt;=EOMONTH(L$4,0))*(Diário!$F$4:$F$2662))</f>
        <v>0</v>
      </c>
      <c r="M151" s="102">
        <f>SUMPRODUCT((Diário!$E$4:$E$2662='Analítico Cx.'!$B151)*(Diário!$B$4:$B$2662&gt;=M$4)*(Diário!$B$4:$B$2662&lt;=EOMONTH(M$4,0))*(Diário!$F$4:$F$2662))</f>
        <v>0</v>
      </c>
      <c r="N151" s="102">
        <f>SUMPRODUCT((Diário!$E$4:$E$2662='Analítico Cx.'!$B151)*(Diário!$B$4:$B$2662&gt;=N$4)*(Diário!$B$4:$B$2662&lt;=EOMONTH(N$4,0))*(Diário!$F$4:$F$2662))</f>
        <v>0</v>
      </c>
      <c r="O151" s="103">
        <f t="shared" si="19"/>
        <v>0</v>
      </c>
      <c r="P151" s="95">
        <f t="shared" si="20"/>
        <v>0</v>
      </c>
    </row>
    <row r="152" spans="1:16" ht="23.25" customHeight="1">
      <c r="A152" s="40" t="s">
        <v>540</v>
      </c>
      <c r="B152" s="60" t="s">
        <v>487</v>
      </c>
      <c r="C152" s="102">
        <f>SUMPRODUCT((Diário!$E$4:$E$2662='Analítico Cx.'!$B152)*(Diário!$B$4:$B$2662&gt;=C$4)*(Diário!$B$4:$B$2662&lt;=EOMONTH(C$4,0))*(Diário!$F$4:$F$2662))</f>
        <v>0</v>
      </c>
      <c r="D152" s="102">
        <f>SUMPRODUCT((Diário!$E$4:$E$2662='Analítico Cx.'!$B152)*(Diário!$B$4:$B$2662&gt;=D$4)*(Diário!$B$4:$B$2662&lt;=EOMONTH(D$4,0))*(Diário!$F$4:$F$2662))</f>
        <v>0</v>
      </c>
      <c r="E152" s="102">
        <f>SUMPRODUCT((Diário!$E$4:$E$2662='Analítico Cx.'!$B152)*(Diário!$B$4:$B$2662&gt;=E$4)*(Diário!$B$4:$B$2662&lt;=EOMONTH(E$4,0))*(Diário!$F$4:$F$2662))</f>
        <v>0</v>
      </c>
      <c r="F152" s="102">
        <f>SUMPRODUCT((Diário!$E$4:$E$2662='Analítico Cx.'!$B152)*(Diário!$B$4:$B$2662&gt;=F$4)*(Diário!$B$4:$B$2662&lt;=EOMONTH(F$4,0))*(Diário!$F$4:$F$2662))</f>
        <v>0</v>
      </c>
      <c r="G152" s="102">
        <f>SUMPRODUCT((Diário!$E$4:$E$2662='Analítico Cx.'!$B152)*(Diário!$B$4:$B$2662&gt;=G$4)*(Diário!$B$4:$B$2662&lt;=EOMONTH(G$4,0))*(Diário!$F$4:$F$2662))</f>
        <v>0</v>
      </c>
      <c r="H152" s="102">
        <f>SUMPRODUCT((Diário!$E$4:$E$2662='Analítico Cx.'!$B152)*(Diário!$B$4:$B$2662&gt;=H$4)*(Diário!$B$4:$B$2662&lt;=EOMONTH(H$4,0))*(Diário!$F$4:$F$2662))</f>
        <v>0</v>
      </c>
      <c r="I152" s="102">
        <f>SUMPRODUCT((Diário!$E$4:$E$2662='Analítico Cx.'!$B152)*(Diário!$B$4:$B$2662&gt;=I$4)*(Diário!$B$4:$B$2662&lt;=EOMONTH(I$4,0))*(Diário!$F$4:$F$2662))</f>
        <v>0</v>
      </c>
      <c r="J152" s="102">
        <f>SUMPRODUCT((Diário!$E$4:$E$2662='Analítico Cx.'!$B152)*(Diário!$B$4:$B$2662&gt;=J$4)*(Diário!$B$4:$B$2662&lt;=EOMONTH(J$4,0))*(Diário!$F$4:$F$2662))</f>
        <v>0</v>
      </c>
      <c r="K152" s="102">
        <f>SUMPRODUCT((Diário!$E$4:$E$2662='Analítico Cx.'!$B152)*(Diário!$B$4:$B$2662&gt;=K$4)*(Diário!$B$4:$B$2662&lt;=EOMONTH(K$4,0))*(Diário!$F$4:$F$2662))</f>
        <v>0</v>
      </c>
      <c r="L152" s="102">
        <f>SUMPRODUCT((Diário!$E$4:$E$2662='Analítico Cx.'!$B152)*(Diário!$B$4:$B$2662&gt;=L$4)*(Diário!$B$4:$B$2662&lt;=EOMONTH(L$4,0))*(Diário!$F$4:$F$2662))</f>
        <v>0</v>
      </c>
      <c r="M152" s="102">
        <f>SUMPRODUCT((Diário!$E$4:$E$2662='Analítico Cx.'!$B152)*(Diário!$B$4:$B$2662&gt;=M$4)*(Diário!$B$4:$B$2662&lt;=EOMONTH(M$4,0))*(Diário!$F$4:$F$2662))</f>
        <v>0</v>
      </c>
      <c r="N152" s="102">
        <f>SUMPRODUCT((Diário!$E$4:$E$2662='Analítico Cx.'!$B152)*(Diário!$B$4:$B$2662&gt;=N$4)*(Diário!$B$4:$B$2662&lt;=EOMONTH(N$4,0))*(Diário!$F$4:$F$2662))</f>
        <v>0</v>
      </c>
      <c r="O152" s="103">
        <f t="shared" si="19"/>
        <v>0</v>
      </c>
      <c r="P152" s="95">
        <f t="shared" si="20"/>
        <v>0</v>
      </c>
    </row>
    <row r="153" spans="1:16" ht="23.25" customHeight="1">
      <c r="A153" s="40" t="s">
        <v>541</v>
      </c>
      <c r="B153" s="60" t="s">
        <v>488</v>
      </c>
      <c r="C153" s="102">
        <f>SUMPRODUCT((Diário!$E$4:$E$2662='Analítico Cx.'!$B153)*(Diário!$B$4:$B$2662&gt;=C$4)*(Diário!$B$4:$B$2662&lt;=EOMONTH(C$4,0))*(Diário!$F$4:$F$2662))</f>
        <v>0</v>
      </c>
      <c r="D153" s="102">
        <f>SUMPRODUCT((Diário!$E$4:$E$2662='Analítico Cx.'!$B153)*(Diário!$B$4:$B$2662&gt;=D$4)*(Diário!$B$4:$B$2662&lt;=EOMONTH(D$4,0))*(Diário!$F$4:$F$2662))</f>
        <v>0</v>
      </c>
      <c r="E153" s="102">
        <f>SUMPRODUCT((Diário!$E$4:$E$2662='Analítico Cx.'!$B153)*(Diário!$B$4:$B$2662&gt;=E$4)*(Diário!$B$4:$B$2662&lt;=EOMONTH(E$4,0))*(Diário!$F$4:$F$2662))</f>
        <v>0</v>
      </c>
      <c r="F153" s="102">
        <f>SUMPRODUCT((Diário!$E$4:$E$2662='Analítico Cx.'!$B153)*(Diário!$B$4:$B$2662&gt;=F$4)*(Diário!$B$4:$B$2662&lt;=EOMONTH(F$4,0))*(Diário!$F$4:$F$2662))</f>
        <v>0</v>
      </c>
      <c r="G153" s="102">
        <f>SUMPRODUCT((Diário!$E$4:$E$2662='Analítico Cx.'!$B153)*(Diário!$B$4:$B$2662&gt;=G$4)*(Diário!$B$4:$B$2662&lt;=EOMONTH(G$4,0))*(Diário!$F$4:$F$2662))</f>
        <v>0</v>
      </c>
      <c r="H153" s="102">
        <f>SUMPRODUCT((Diário!$E$4:$E$2662='Analítico Cx.'!$B153)*(Diário!$B$4:$B$2662&gt;=H$4)*(Diário!$B$4:$B$2662&lt;=EOMONTH(H$4,0))*(Diário!$F$4:$F$2662))</f>
        <v>0</v>
      </c>
      <c r="I153" s="102">
        <f>SUMPRODUCT((Diário!$E$4:$E$2662='Analítico Cx.'!$B153)*(Diário!$B$4:$B$2662&gt;=I$4)*(Diário!$B$4:$B$2662&lt;=EOMONTH(I$4,0))*(Diário!$F$4:$F$2662))</f>
        <v>0</v>
      </c>
      <c r="J153" s="102">
        <f>SUMPRODUCT((Diário!$E$4:$E$2662='Analítico Cx.'!$B153)*(Diário!$B$4:$B$2662&gt;=J$4)*(Diário!$B$4:$B$2662&lt;=EOMONTH(J$4,0))*(Diário!$F$4:$F$2662))</f>
        <v>0</v>
      </c>
      <c r="K153" s="102">
        <f>SUMPRODUCT((Diário!$E$4:$E$2662='Analítico Cx.'!$B153)*(Diário!$B$4:$B$2662&gt;=K$4)*(Diário!$B$4:$B$2662&lt;=EOMONTH(K$4,0))*(Diário!$F$4:$F$2662))</f>
        <v>0</v>
      </c>
      <c r="L153" s="102">
        <f>SUMPRODUCT((Diário!$E$4:$E$2662='Analítico Cx.'!$B153)*(Diário!$B$4:$B$2662&gt;=L$4)*(Diário!$B$4:$B$2662&lt;=EOMONTH(L$4,0))*(Diário!$F$4:$F$2662))</f>
        <v>0</v>
      </c>
      <c r="M153" s="102">
        <f>SUMPRODUCT((Diário!$E$4:$E$2662='Analítico Cx.'!$B153)*(Diário!$B$4:$B$2662&gt;=M$4)*(Diário!$B$4:$B$2662&lt;=EOMONTH(M$4,0))*(Diário!$F$4:$F$2662))</f>
        <v>0</v>
      </c>
      <c r="N153" s="102">
        <f>SUMPRODUCT((Diário!$E$4:$E$2662='Analítico Cx.'!$B153)*(Diário!$B$4:$B$2662&gt;=N$4)*(Diário!$B$4:$B$2662&lt;=EOMONTH(N$4,0))*(Diário!$F$4:$F$2662))</f>
        <v>0</v>
      </c>
      <c r="O153" s="103">
        <f t="shared" si="19"/>
        <v>0</v>
      </c>
      <c r="P153" s="95">
        <f t="shared" si="20"/>
        <v>0</v>
      </c>
    </row>
    <row r="154" spans="1:16" ht="23.25" customHeight="1">
      <c r="A154" s="40" t="s">
        <v>542</v>
      </c>
      <c r="B154" s="60" t="s">
        <v>489</v>
      </c>
      <c r="C154" s="102">
        <f>SUMPRODUCT((Diário!$E$4:$E$2662='Analítico Cx.'!$B154)*(Diário!$B$4:$B$2662&gt;=C$4)*(Diário!$B$4:$B$2662&lt;=EOMONTH(C$4,0))*(Diário!$F$4:$F$2662))</f>
        <v>0</v>
      </c>
      <c r="D154" s="102">
        <f>SUMPRODUCT((Diário!$E$4:$E$2662='Analítico Cx.'!$B154)*(Diário!$B$4:$B$2662&gt;=D$4)*(Diário!$B$4:$B$2662&lt;=EOMONTH(D$4,0))*(Diário!$F$4:$F$2662))</f>
        <v>610.84</v>
      </c>
      <c r="E154" s="102">
        <f>SUMPRODUCT((Diário!$E$4:$E$2662='Analítico Cx.'!$B154)*(Diário!$B$4:$B$2662&gt;=E$4)*(Diário!$B$4:$B$2662&lt;=EOMONTH(E$4,0))*(Diário!$F$4:$F$2662))</f>
        <v>1221.68</v>
      </c>
      <c r="F154" s="102">
        <f>SUMPRODUCT((Diário!$E$4:$E$2662='Analítico Cx.'!$B154)*(Diário!$B$4:$B$2662&gt;=F$4)*(Diário!$B$4:$B$2662&lt;=EOMONTH(F$4,0))*(Diário!$F$4:$F$2662))</f>
        <v>610.84</v>
      </c>
      <c r="G154" s="102">
        <f>SUMPRODUCT((Diário!$E$4:$E$2662='Analítico Cx.'!$B154)*(Diário!$B$4:$B$2662&gt;=G$4)*(Diário!$B$4:$B$2662&lt;=EOMONTH(G$4,0))*(Diário!$F$4:$F$2662))</f>
        <v>6431.52</v>
      </c>
      <c r="H154" s="102">
        <f>SUMPRODUCT((Diário!$E$4:$E$2662='Analítico Cx.'!$B154)*(Diário!$B$4:$B$2662&gt;=H$4)*(Diário!$B$4:$B$2662&lt;=EOMONTH(H$4,0))*(Diário!$F$4:$F$2662))</f>
        <v>11021.28</v>
      </c>
      <c r="I154" s="102">
        <f>SUMPRODUCT((Diário!$E$4:$E$2662='Analítico Cx.'!$B154)*(Diário!$B$4:$B$2662&gt;=I$4)*(Diário!$B$4:$B$2662&lt;=EOMONTH(I$4,0))*(Diário!$F$4:$F$2662))</f>
        <v>0</v>
      </c>
      <c r="J154" s="102">
        <f>SUMPRODUCT((Diário!$E$4:$E$2662='Analítico Cx.'!$B154)*(Diário!$B$4:$B$2662&gt;=J$4)*(Diário!$B$4:$B$2662&lt;=EOMONTH(J$4,0))*(Diário!$F$4:$F$2662))</f>
        <v>0</v>
      </c>
      <c r="K154" s="102">
        <f>SUMPRODUCT((Diário!$E$4:$E$2662='Analítico Cx.'!$B154)*(Diário!$B$4:$B$2662&gt;=K$4)*(Diário!$B$4:$B$2662&lt;=EOMONTH(K$4,0))*(Diário!$F$4:$F$2662))</f>
        <v>0</v>
      </c>
      <c r="L154" s="102">
        <f>SUMPRODUCT((Diário!$E$4:$E$2662='Analítico Cx.'!$B154)*(Diário!$B$4:$B$2662&gt;=L$4)*(Diário!$B$4:$B$2662&lt;=EOMONTH(L$4,0))*(Diário!$F$4:$F$2662))</f>
        <v>0</v>
      </c>
      <c r="M154" s="102">
        <f>SUMPRODUCT((Diário!$E$4:$E$2662='Analítico Cx.'!$B154)*(Diário!$B$4:$B$2662&gt;=M$4)*(Diário!$B$4:$B$2662&lt;=EOMONTH(M$4,0))*(Diário!$F$4:$F$2662))</f>
        <v>0</v>
      </c>
      <c r="N154" s="102">
        <f>SUMPRODUCT((Diário!$E$4:$E$2662='Analítico Cx.'!$B154)*(Diário!$B$4:$B$2662&gt;=N$4)*(Diário!$B$4:$B$2662&lt;=EOMONTH(N$4,0))*(Diário!$F$4:$F$2662))</f>
        <v>0</v>
      </c>
      <c r="O154" s="103">
        <f t="shared" si="19"/>
        <v>19896.160000000003</v>
      </c>
      <c r="P154" s="95">
        <f t="shared" si="20"/>
        <v>1.0273699724498242E-3</v>
      </c>
    </row>
    <row r="155" spans="1:16" ht="23.25" customHeight="1">
      <c r="A155" s="40" t="s">
        <v>543</v>
      </c>
      <c r="B155" s="60" t="s">
        <v>490</v>
      </c>
      <c r="C155" s="102">
        <f>SUMPRODUCT((Diário!$E$4:$E$2662='Analítico Cx.'!$B155)*(Diário!$B$4:$B$2662&gt;=C$4)*(Diário!$B$4:$B$2662&lt;=EOMONTH(C$4,0))*(Diário!$F$4:$F$2662))</f>
        <v>5076.3500000000004</v>
      </c>
      <c r="D155" s="102">
        <f>SUMPRODUCT((Diário!$E$4:$E$2662='Analítico Cx.'!$B155)*(Diário!$B$4:$B$2662&gt;=D$4)*(Diário!$B$4:$B$2662&lt;=EOMONTH(D$4,0))*(Diário!$F$4:$F$2662))</f>
        <v>125639.74</v>
      </c>
      <c r="E155" s="102">
        <f>SUMPRODUCT((Diário!$E$4:$E$2662='Analítico Cx.'!$B155)*(Diário!$B$4:$B$2662&gt;=E$4)*(Diário!$B$4:$B$2662&lt;=EOMONTH(E$4,0))*(Diário!$F$4:$F$2662))</f>
        <v>136168.68000000002</v>
      </c>
      <c r="F155" s="102">
        <f>SUMPRODUCT((Diário!$E$4:$E$2662='Analítico Cx.'!$B155)*(Diário!$B$4:$B$2662&gt;=F$4)*(Diário!$B$4:$B$2662&lt;=EOMONTH(F$4,0))*(Diário!$F$4:$F$2662))</f>
        <v>136168.68000000002</v>
      </c>
      <c r="G155" s="102">
        <f>SUMPRODUCT((Diário!$E$4:$E$2662='Analítico Cx.'!$B155)*(Diário!$B$4:$B$2662&gt;=G$4)*(Diário!$B$4:$B$2662&lt;=EOMONTH(G$4,0))*(Diário!$F$4:$F$2662))</f>
        <v>136168.68000000002</v>
      </c>
      <c r="H155" s="102">
        <f>SUMPRODUCT((Diário!$E$4:$E$2662='Analítico Cx.'!$B155)*(Diário!$B$4:$B$2662&gt;=H$4)*(Diário!$B$4:$B$2662&lt;=EOMONTH(H$4,0))*(Diário!$F$4:$F$2662))</f>
        <v>136168.68000000002</v>
      </c>
      <c r="I155" s="102">
        <f>SUMPRODUCT((Diário!$E$4:$E$2662='Analítico Cx.'!$B155)*(Diário!$B$4:$B$2662&gt;=I$4)*(Diário!$B$4:$B$2662&lt;=EOMONTH(I$4,0))*(Diário!$F$4:$F$2662))</f>
        <v>0</v>
      </c>
      <c r="J155" s="102">
        <f>SUMPRODUCT((Diário!$E$4:$E$2662='Analítico Cx.'!$B155)*(Diário!$B$4:$B$2662&gt;=J$4)*(Diário!$B$4:$B$2662&lt;=EOMONTH(J$4,0))*(Diário!$F$4:$F$2662))</f>
        <v>0</v>
      </c>
      <c r="K155" s="102">
        <f>SUMPRODUCT((Diário!$E$4:$E$2662='Analítico Cx.'!$B155)*(Diário!$B$4:$B$2662&gt;=K$4)*(Diário!$B$4:$B$2662&lt;=EOMONTH(K$4,0))*(Diário!$F$4:$F$2662))</f>
        <v>0</v>
      </c>
      <c r="L155" s="102">
        <f>SUMPRODUCT((Diário!$E$4:$E$2662='Analítico Cx.'!$B155)*(Diário!$B$4:$B$2662&gt;=L$4)*(Diário!$B$4:$B$2662&lt;=EOMONTH(L$4,0))*(Diário!$F$4:$F$2662))</f>
        <v>0</v>
      </c>
      <c r="M155" s="102">
        <f>SUMPRODUCT((Diário!$E$4:$E$2662='Analítico Cx.'!$B155)*(Diário!$B$4:$B$2662&gt;=M$4)*(Diário!$B$4:$B$2662&lt;=EOMONTH(M$4,0))*(Diário!$F$4:$F$2662))</f>
        <v>0</v>
      </c>
      <c r="N155" s="102">
        <f>SUMPRODUCT((Diário!$E$4:$E$2662='Analítico Cx.'!$B155)*(Diário!$B$4:$B$2662&gt;=N$4)*(Diário!$B$4:$B$2662&lt;=EOMONTH(N$4,0))*(Diário!$F$4:$F$2662))</f>
        <v>0</v>
      </c>
      <c r="O155" s="103">
        <f t="shared" si="19"/>
        <v>675390.81000000017</v>
      </c>
      <c r="P155" s="95">
        <f t="shared" si="20"/>
        <v>3.487488228193604E-2</v>
      </c>
    </row>
    <row r="156" spans="1:16" ht="23.25" customHeight="1">
      <c r="A156" s="40" t="s">
        <v>544</v>
      </c>
      <c r="B156" s="60" t="s">
        <v>491</v>
      </c>
      <c r="C156" s="102">
        <f>SUMPRODUCT((Diário!$E$4:$E$2662='Analítico Cx.'!$B156)*(Diário!$B$4:$B$2662&gt;=C$4)*(Diário!$B$4:$B$2662&lt;=EOMONTH(C$4,0))*(Diário!$F$4:$F$2662))</f>
        <v>0</v>
      </c>
      <c r="D156" s="102">
        <f>SUMPRODUCT((Diário!$E$4:$E$2662='Analítico Cx.'!$B156)*(Diário!$B$4:$B$2662&gt;=D$4)*(Diário!$B$4:$B$2662&lt;=EOMONTH(D$4,0))*(Diário!$F$4:$F$2662))</f>
        <v>0</v>
      </c>
      <c r="E156" s="102">
        <f>SUMPRODUCT((Diário!$E$4:$E$2662='Analítico Cx.'!$B156)*(Diário!$B$4:$B$2662&gt;=E$4)*(Diário!$B$4:$B$2662&lt;=EOMONTH(E$4,0))*(Diário!$F$4:$F$2662))</f>
        <v>55803.28</v>
      </c>
      <c r="F156" s="102">
        <f>SUMPRODUCT((Diário!$E$4:$E$2662='Analítico Cx.'!$B156)*(Diário!$B$4:$B$2662&gt;=F$4)*(Diário!$B$4:$B$2662&lt;=EOMONTH(F$4,0))*(Diário!$F$4:$F$2662))</f>
        <v>104557.71999999999</v>
      </c>
      <c r="G156" s="102">
        <f>SUMPRODUCT((Diário!$E$4:$E$2662='Analítico Cx.'!$B156)*(Diário!$B$4:$B$2662&gt;=G$4)*(Diário!$B$4:$B$2662&lt;=EOMONTH(G$4,0))*(Diário!$F$4:$F$2662))</f>
        <v>104342.13</v>
      </c>
      <c r="H156" s="102">
        <f>SUMPRODUCT((Diário!$E$4:$E$2662='Analítico Cx.'!$B156)*(Diário!$B$4:$B$2662&gt;=H$4)*(Diário!$B$4:$B$2662&lt;=EOMONTH(H$4,0))*(Diário!$F$4:$F$2662))</f>
        <v>152248.07999999996</v>
      </c>
      <c r="I156" s="102">
        <f>SUMPRODUCT((Diário!$E$4:$E$2662='Analítico Cx.'!$B156)*(Diário!$B$4:$B$2662&gt;=I$4)*(Diário!$B$4:$B$2662&lt;=EOMONTH(I$4,0))*(Diário!$F$4:$F$2662))</f>
        <v>0</v>
      </c>
      <c r="J156" s="102">
        <f>SUMPRODUCT((Diário!$E$4:$E$2662='Analítico Cx.'!$B156)*(Diário!$B$4:$B$2662&gt;=J$4)*(Diário!$B$4:$B$2662&lt;=EOMONTH(J$4,0))*(Diário!$F$4:$F$2662))</f>
        <v>0</v>
      </c>
      <c r="K156" s="102">
        <f>SUMPRODUCT((Diário!$E$4:$E$2662='Analítico Cx.'!$B156)*(Diário!$B$4:$B$2662&gt;=K$4)*(Diário!$B$4:$B$2662&lt;=EOMONTH(K$4,0))*(Diário!$F$4:$F$2662))</f>
        <v>0</v>
      </c>
      <c r="L156" s="102">
        <f>SUMPRODUCT((Diário!$E$4:$E$2662='Analítico Cx.'!$B156)*(Diário!$B$4:$B$2662&gt;=L$4)*(Diário!$B$4:$B$2662&lt;=EOMONTH(L$4,0))*(Diário!$F$4:$F$2662))</f>
        <v>0</v>
      </c>
      <c r="M156" s="102">
        <f>SUMPRODUCT((Diário!$E$4:$E$2662='Analítico Cx.'!$B156)*(Diário!$B$4:$B$2662&gt;=M$4)*(Diário!$B$4:$B$2662&lt;=EOMONTH(M$4,0))*(Diário!$F$4:$F$2662))</f>
        <v>0</v>
      </c>
      <c r="N156" s="102">
        <f>SUMPRODUCT((Diário!$E$4:$E$2662='Analítico Cx.'!$B156)*(Diário!$B$4:$B$2662&gt;=N$4)*(Diário!$B$4:$B$2662&lt;=EOMONTH(N$4,0))*(Diário!$F$4:$F$2662))</f>
        <v>0</v>
      </c>
      <c r="O156" s="103">
        <f t="shared" si="19"/>
        <v>416951.20999999996</v>
      </c>
      <c r="P156" s="95">
        <f t="shared" si="20"/>
        <v>2.1529941110778199E-2</v>
      </c>
    </row>
    <row r="157" spans="1:16" ht="23.25" customHeight="1">
      <c r="A157" s="40" t="s">
        <v>545</v>
      </c>
      <c r="B157" s="60" t="s">
        <v>492</v>
      </c>
      <c r="C157" s="102">
        <f>SUMPRODUCT((Diário!$E$4:$E$2662='Analítico Cx.'!$B157)*(Diário!$B$4:$B$2662&gt;=C$4)*(Diário!$B$4:$B$2662&lt;=EOMONTH(C$4,0))*(Diário!$F$4:$F$2662))</f>
        <v>2446.73</v>
      </c>
      <c r="D157" s="102">
        <f>SUMPRODUCT((Diário!$E$4:$E$2662='Analítico Cx.'!$B157)*(Diário!$B$4:$B$2662&gt;=D$4)*(Diário!$B$4:$B$2662&lt;=EOMONTH(D$4,0))*(Diário!$F$4:$F$2662))</f>
        <v>61.8</v>
      </c>
      <c r="E157" s="102">
        <f>SUMPRODUCT((Diário!$E$4:$E$2662='Analítico Cx.'!$B157)*(Diário!$B$4:$B$2662&gt;=E$4)*(Diário!$B$4:$B$2662&lt;=EOMONTH(E$4,0))*(Diário!$F$4:$F$2662))</f>
        <v>8700</v>
      </c>
      <c r="F157" s="102">
        <f>SUMPRODUCT((Diário!$E$4:$E$2662='Analítico Cx.'!$B157)*(Diário!$B$4:$B$2662&gt;=F$4)*(Diário!$B$4:$B$2662&lt;=EOMONTH(F$4,0))*(Diário!$F$4:$F$2662))</f>
        <v>9188</v>
      </c>
      <c r="G157" s="102">
        <f>SUMPRODUCT((Diário!$E$4:$E$2662='Analítico Cx.'!$B157)*(Diário!$B$4:$B$2662&gt;=G$4)*(Diário!$B$4:$B$2662&lt;=EOMONTH(G$4,0))*(Diário!$F$4:$F$2662))</f>
        <v>8273.16</v>
      </c>
      <c r="H157" s="102">
        <f>SUMPRODUCT((Diário!$E$4:$E$2662='Analítico Cx.'!$B157)*(Diário!$B$4:$B$2662&gt;=H$4)*(Diário!$B$4:$B$2662&lt;=EOMONTH(H$4,0))*(Diário!$F$4:$F$2662))</f>
        <v>20617.559999999998</v>
      </c>
      <c r="I157" s="102">
        <f>SUMPRODUCT((Diário!$E$4:$E$2662='Analítico Cx.'!$B157)*(Diário!$B$4:$B$2662&gt;=I$4)*(Diário!$B$4:$B$2662&lt;=EOMONTH(I$4,0))*(Diário!$F$4:$F$2662))</f>
        <v>0</v>
      </c>
      <c r="J157" s="102">
        <f>SUMPRODUCT((Diário!$E$4:$E$2662='Analítico Cx.'!$B157)*(Diário!$B$4:$B$2662&gt;=J$4)*(Diário!$B$4:$B$2662&lt;=EOMONTH(J$4,0))*(Diário!$F$4:$F$2662))</f>
        <v>0</v>
      </c>
      <c r="K157" s="102">
        <f>SUMPRODUCT((Diário!$E$4:$E$2662='Analítico Cx.'!$B157)*(Diário!$B$4:$B$2662&gt;=K$4)*(Diário!$B$4:$B$2662&lt;=EOMONTH(K$4,0))*(Diário!$F$4:$F$2662))</f>
        <v>0</v>
      </c>
      <c r="L157" s="102">
        <f>SUMPRODUCT((Diário!$E$4:$E$2662='Analítico Cx.'!$B157)*(Diário!$B$4:$B$2662&gt;=L$4)*(Diário!$B$4:$B$2662&lt;=EOMONTH(L$4,0))*(Diário!$F$4:$F$2662))</f>
        <v>0</v>
      </c>
      <c r="M157" s="102">
        <f>SUMPRODUCT((Diário!$E$4:$E$2662='Analítico Cx.'!$B157)*(Diário!$B$4:$B$2662&gt;=M$4)*(Diário!$B$4:$B$2662&lt;=EOMONTH(M$4,0))*(Diário!$F$4:$F$2662))</f>
        <v>0</v>
      </c>
      <c r="N157" s="102">
        <f>SUMPRODUCT((Diário!$E$4:$E$2662='Analítico Cx.'!$B157)*(Diário!$B$4:$B$2662&gt;=N$4)*(Diário!$B$4:$B$2662&lt;=EOMONTH(N$4,0))*(Diário!$F$4:$F$2662))</f>
        <v>0</v>
      </c>
      <c r="O157" s="103">
        <f t="shared" si="19"/>
        <v>49287.25</v>
      </c>
      <c r="P157" s="95">
        <f t="shared" si="20"/>
        <v>2.5450258077250884E-3</v>
      </c>
    </row>
    <row r="158" spans="1:16" ht="23.25" customHeight="1">
      <c r="A158" s="40" t="s">
        <v>546</v>
      </c>
      <c r="B158" s="60" t="s">
        <v>493</v>
      </c>
      <c r="C158" s="102">
        <f>SUMPRODUCT((Diário!$E$4:$E$2662='Analítico Cx.'!$B158)*(Diário!$B$4:$B$2662&gt;=C$4)*(Diário!$B$4:$B$2662&lt;=EOMONTH(C$4,0))*(Diário!$F$4:$F$2662))</f>
        <v>324</v>
      </c>
      <c r="D158" s="102">
        <f>SUMPRODUCT((Diário!$E$4:$E$2662='Analítico Cx.'!$B158)*(Diário!$B$4:$B$2662&gt;=D$4)*(Diário!$B$4:$B$2662&lt;=EOMONTH(D$4,0))*(Diário!$F$4:$F$2662))</f>
        <v>0</v>
      </c>
      <c r="E158" s="102">
        <f>SUMPRODUCT((Diário!$E$4:$E$2662='Analítico Cx.'!$B158)*(Diário!$B$4:$B$2662&gt;=E$4)*(Diário!$B$4:$B$2662&lt;=EOMONTH(E$4,0))*(Diário!$F$4:$F$2662))</f>
        <v>795.5</v>
      </c>
      <c r="F158" s="102">
        <f>SUMPRODUCT((Diário!$E$4:$E$2662='Analítico Cx.'!$B158)*(Diário!$B$4:$B$2662&gt;=F$4)*(Diário!$B$4:$B$2662&lt;=EOMONTH(F$4,0))*(Diário!$F$4:$F$2662))</f>
        <v>0</v>
      </c>
      <c r="G158" s="102">
        <f>SUMPRODUCT((Diário!$E$4:$E$2662='Analítico Cx.'!$B158)*(Diário!$B$4:$B$2662&gt;=G$4)*(Diário!$B$4:$B$2662&lt;=EOMONTH(G$4,0))*(Diário!$F$4:$F$2662))</f>
        <v>0</v>
      </c>
      <c r="H158" s="102">
        <f>SUMPRODUCT((Diário!$E$4:$E$2662='Analítico Cx.'!$B158)*(Diário!$B$4:$B$2662&gt;=H$4)*(Diário!$B$4:$B$2662&lt;=EOMONTH(H$4,0))*(Diário!$F$4:$F$2662))</f>
        <v>0</v>
      </c>
      <c r="I158" s="102">
        <f>SUMPRODUCT((Diário!$E$4:$E$2662='Analítico Cx.'!$B158)*(Diário!$B$4:$B$2662&gt;=I$4)*(Diário!$B$4:$B$2662&lt;=EOMONTH(I$4,0))*(Diário!$F$4:$F$2662))</f>
        <v>0</v>
      </c>
      <c r="J158" s="102">
        <f>SUMPRODUCT((Diário!$E$4:$E$2662='Analítico Cx.'!$B158)*(Diário!$B$4:$B$2662&gt;=J$4)*(Diário!$B$4:$B$2662&lt;=EOMONTH(J$4,0))*(Diário!$F$4:$F$2662))</f>
        <v>0</v>
      </c>
      <c r="K158" s="102">
        <f>SUMPRODUCT((Diário!$E$4:$E$2662='Analítico Cx.'!$B158)*(Diário!$B$4:$B$2662&gt;=K$4)*(Diário!$B$4:$B$2662&lt;=EOMONTH(K$4,0))*(Diário!$F$4:$F$2662))</f>
        <v>0</v>
      </c>
      <c r="L158" s="102">
        <f>SUMPRODUCT((Diário!$E$4:$E$2662='Analítico Cx.'!$B158)*(Diário!$B$4:$B$2662&gt;=L$4)*(Diário!$B$4:$B$2662&lt;=EOMONTH(L$4,0))*(Diário!$F$4:$F$2662))</f>
        <v>0</v>
      </c>
      <c r="M158" s="102">
        <f>SUMPRODUCT((Diário!$E$4:$E$2662='Analítico Cx.'!$B158)*(Diário!$B$4:$B$2662&gt;=M$4)*(Diário!$B$4:$B$2662&lt;=EOMONTH(M$4,0))*(Diário!$F$4:$F$2662))</f>
        <v>0</v>
      </c>
      <c r="N158" s="102">
        <f>SUMPRODUCT((Diário!$E$4:$E$2662='Analítico Cx.'!$B158)*(Diário!$B$4:$B$2662&gt;=N$4)*(Diário!$B$4:$B$2662&lt;=EOMONTH(N$4,0))*(Diário!$F$4:$F$2662))</f>
        <v>0</v>
      </c>
      <c r="O158" s="103">
        <f t="shared" si="19"/>
        <v>1119.5</v>
      </c>
      <c r="P158" s="95">
        <f t="shared" si="20"/>
        <v>5.7807169029479965E-5</v>
      </c>
    </row>
    <row r="159" spans="1:16" ht="23.25" customHeight="1">
      <c r="A159" s="40" t="s">
        <v>547</v>
      </c>
      <c r="B159" s="60" t="s">
        <v>494</v>
      </c>
      <c r="C159" s="102">
        <f>SUMPRODUCT((Diário!$E$4:$E$2662='Analítico Cx.'!$B159)*(Diário!$B$4:$B$2662&gt;=C$4)*(Diário!$B$4:$B$2662&lt;=EOMONTH(C$4,0))*(Diário!$F$4:$F$2662))</f>
        <v>0</v>
      </c>
      <c r="D159" s="102">
        <f>SUMPRODUCT((Diário!$E$4:$E$2662='Analítico Cx.'!$B159)*(Diário!$B$4:$B$2662&gt;=D$4)*(Diário!$B$4:$B$2662&lt;=EOMONTH(D$4,0))*(Diário!$F$4:$F$2662))</f>
        <v>0</v>
      </c>
      <c r="E159" s="102">
        <f>SUMPRODUCT((Diário!$E$4:$E$2662='Analítico Cx.'!$B159)*(Diário!$B$4:$B$2662&gt;=E$4)*(Diário!$B$4:$B$2662&lt;=EOMONTH(E$4,0))*(Diário!$F$4:$F$2662))</f>
        <v>4561.79</v>
      </c>
      <c r="F159" s="102">
        <f>SUMPRODUCT((Diário!$E$4:$E$2662='Analítico Cx.'!$B159)*(Diário!$B$4:$B$2662&gt;=F$4)*(Diário!$B$4:$B$2662&lt;=EOMONTH(F$4,0))*(Diário!$F$4:$F$2662))</f>
        <v>34145.78</v>
      </c>
      <c r="G159" s="102">
        <f>SUMPRODUCT((Diário!$E$4:$E$2662='Analítico Cx.'!$B159)*(Diário!$B$4:$B$2662&gt;=G$4)*(Diário!$B$4:$B$2662&lt;=EOMONTH(G$4,0))*(Diário!$F$4:$F$2662))</f>
        <v>41458.04</v>
      </c>
      <c r="H159" s="102">
        <f>SUMPRODUCT((Diário!$E$4:$E$2662='Analítico Cx.'!$B159)*(Diário!$B$4:$B$2662&gt;=H$4)*(Diário!$B$4:$B$2662&lt;=EOMONTH(H$4,0))*(Diário!$F$4:$F$2662))</f>
        <v>70356.95</v>
      </c>
      <c r="I159" s="102">
        <f>SUMPRODUCT((Diário!$E$4:$E$2662='Analítico Cx.'!$B159)*(Diário!$B$4:$B$2662&gt;=I$4)*(Diário!$B$4:$B$2662&lt;=EOMONTH(I$4,0))*(Diário!$F$4:$F$2662))</f>
        <v>0</v>
      </c>
      <c r="J159" s="102">
        <f>SUMPRODUCT((Diário!$E$4:$E$2662='Analítico Cx.'!$B159)*(Diário!$B$4:$B$2662&gt;=J$4)*(Diário!$B$4:$B$2662&lt;=EOMONTH(J$4,0))*(Diário!$F$4:$F$2662))</f>
        <v>0</v>
      </c>
      <c r="K159" s="102">
        <f>SUMPRODUCT((Diário!$E$4:$E$2662='Analítico Cx.'!$B159)*(Diário!$B$4:$B$2662&gt;=K$4)*(Diário!$B$4:$B$2662&lt;=EOMONTH(K$4,0))*(Diário!$F$4:$F$2662))</f>
        <v>0</v>
      </c>
      <c r="L159" s="102">
        <f>SUMPRODUCT((Diário!$E$4:$E$2662='Analítico Cx.'!$B159)*(Diário!$B$4:$B$2662&gt;=L$4)*(Diário!$B$4:$B$2662&lt;=EOMONTH(L$4,0))*(Diário!$F$4:$F$2662))</f>
        <v>0</v>
      </c>
      <c r="M159" s="102">
        <f>SUMPRODUCT((Diário!$E$4:$E$2662='Analítico Cx.'!$B159)*(Diário!$B$4:$B$2662&gt;=M$4)*(Diário!$B$4:$B$2662&lt;=EOMONTH(M$4,0))*(Diário!$F$4:$F$2662))</f>
        <v>0</v>
      </c>
      <c r="N159" s="102">
        <f>SUMPRODUCT((Diário!$E$4:$E$2662='Analítico Cx.'!$B159)*(Diário!$B$4:$B$2662&gt;=N$4)*(Diário!$B$4:$B$2662&lt;=EOMONTH(N$4,0))*(Diário!$F$4:$F$2662))</f>
        <v>0</v>
      </c>
      <c r="O159" s="103">
        <f t="shared" si="19"/>
        <v>150522.56</v>
      </c>
      <c r="P159" s="95">
        <f t="shared" si="20"/>
        <v>7.772472593720446E-3</v>
      </c>
    </row>
    <row r="160" spans="1:16" ht="23.25" customHeight="1">
      <c r="A160" s="40" t="s">
        <v>548</v>
      </c>
      <c r="B160" s="60" t="s">
        <v>495</v>
      </c>
      <c r="C160" s="102">
        <f>SUMPRODUCT((Diário!$E$4:$E$2662='Analítico Cx.'!$B160)*(Diário!$B$4:$B$2662&gt;=C$4)*(Diário!$B$4:$B$2662&lt;=EOMONTH(C$4,0))*(Diário!$F$4:$F$2662))</f>
        <v>5047.7299999999996</v>
      </c>
      <c r="D160" s="102">
        <f>SUMPRODUCT((Diário!$E$4:$E$2662='Analítico Cx.'!$B160)*(Diário!$B$4:$B$2662&gt;=D$4)*(Diário!$B$4:$B$2662&lt;=EOMONTH(D$4,0))*(Diário!$F$4:$F$2662))</f>
        <v>19254.240000000002</v>
      </c>
      <c r="E160" s="102">
        <f>SUMPRODUCT((Diário!$E$4:$E$2662='Analítico Cx.'!$B160)*(Diário!$B$4:$B$2662&gt;=E$4)*(Diário!$B$4:$B$2662&lt;=EOMONTH(E$4,0))*(Diário!$F$4:$F$2662))</f>
        <v>10467.449999999999</v>
      </c>
      <c r="F160" s="102">
        <f>SUMPRODUCT((Diário!$E$4:$E$2662='Analítico Cx.'!$B160)*(Diário!$B$4:$B$2662&gt;=F$4)*(Diário!$B$4:$B$2662&lt;=EOMONTH(F$4,0))*(Diário!$F$4:$F$2662))</f>
        <v>29013.84</v>
      </c>
      <c r="G160" s="102">
        <f>SUMPRODUCT((Diário!$E$4:$E$2662='Analítico Cx.'!$B160)*(Diário!$B$4:$B$2662&gt;=G$4)*(Diário!$B$4:$B$2662&lt;=EOMONTH(G$4,0))*(Diário!$F$4:$F$2662))</f>
        <v>91797.15</v>
      </c>
      <c r="H160" s="102">
        <f>SUMPRODUCT((Diário!$E$4:$E$2662='Analítico Cx.'!$B160)*(Diário!$B$4:$B$2662&gt;=H$4)*(Diário!$B$4:$B$2662&lt;=EOMONTH(H$4,0))*(Diário!$F$4:$F$2662))</f>
        <v>122305.05</v>
      </c>
      <c r="I160" s="102">
        <f>SUMPRODUCT((Diário!$E$4:$E$2662='Analítico Cx.'!$B160)*(Diário!$B$4:$B$2662&gt;=I$4)*(Diário!$B$4:$B$2662&lt;=EOMONTH(I$4,0))*(Diário!$F$4:$F$2662))</f>
        <v>0</v>
      </c>
      <c r="J160" s="102">
        <f>SUMPRODUCT((Diário!$E$4:$E$2662='Analítico Cx.'!$B160)*(Diário!$B$4:$B$2662&gt;=J$4)*(Diário!$B$4:$B$2662&lt;=EOMONTH(J$4,0))*(Diário!$F$4:$F$2662))</f>
        <v>0</v>
      </c>
      <c r="K160" s="102">
        <f>SUMPRODUCT((Diário!$E$4:$E$2662='Analítico Cx.'!$B160)*(Diário!$B$4:$B$2662&gt;=K$4)*(Diário!$B$4:$B$2662&lt;=EOMONTH(K$4,0))*(Diário!$F$4:$F$2662))</f>
        <v>0</v>
      </c>
      <c r="L160" s="102">
        <f>SUMPRODUCT((Diário!$E$4:$E$2662='Analítico Cx.'!$B160)*(Diário!$B$4:$B$2662&gt;=L$4)*(Diário!$B$4:$B$2662&lt;=EOMONTH(L$4,0))*(Diário!$F$4:$F$2662))</f>
        <v>0</v>
      </c>
      <c r="M160" s="102">
        <f>SUMPRODUCT((Diário!$E$4:$E$2662='Analítico Cx.'!$B160)*(Diário!$B$4:$B$2662&gt;=M$4)*(Diário!$B$4:$B$2662&lt;=EOMONTH(M$4,0))*(Diário!$F$4:$F$2662))</f>
        <v>0</v>
      </c>
      <c r="N160" s="102">
        <f>SUMPRODUCT((Diário!$E$4:$E$2662='Analítico Cx.'!$B160)*(Diário!$B$4:$B$2662&gt;=N$4)*(Diário!$B$4:$B$2662&lt;=EOMONTH(N$4,0))*(Diário!$F$4:$F$2662))</f>
        <v>0</v>
      </c>
      <c r="O160" s="103">
        <f t="shared" si="19"/>
        <v>277885.45999999996</v>
      </c>
      <c r="P160" s="95">
        <f t="shared" si="20"/>
        <v>1.434905918450629E-2</v>
      </c>
    </row>
    <row r="161" spans="1:16" ht="23.25" customHeight="1">
      <c r="A161" s="40" t="s">
        <v>549</v>
      </c>
      <c r="B161" s="60" t="s">
        <v>496</v>
      </c>
      <c r="C161" s="102">
        <f>SUMPRODUCT((Diário!$E$4:$E$2662='Analítico Cx.'!$B161)*(Diário!$B$4:$B$2662&gt;=C$4)*(Diário!$B$4:$B$2662&lt;=EOMONTH(C$4,0))*(Diário!$F$4:$F$2662))</f>
        <v>0</v>
      </c>
      <c r="D161" s="102">
        <f>SUMPRODUCT((Diário!$E$4:$E$2662='Analítico Cx.'!$B161)*(Diário!$B$4:$B$2662&gt;=D$4)*(Diário!$B$4:$B$2662&lt;=EOMONTH(D$4,0))*(Diário!$F$4:$F$2662))</f>
        <v>0</v>
      </c>
      <c r="E161" s="102">
        <f>SUMPRODUCT((Diário!$E$4:$E$2662='Analítico Cx.'!$B161)*(Diário!$B$4:$B$2662&gt;=E$4)*(Diário!$B$4:$B$2662&lt;=EOMONTH(E$4,0))*(Diário!$F$4:$F$2662))</f>
        <v>14265.73</v>
      </c>
      <c r="F161" s="102">
        <f>SUMPRODUCT((Diário!$E$4:$E$2662='Analítico Cx.'!$B161)*(Diário!$B$4:$B$2662&gt;=F$4)*(Diário!$B$4:$B$2662&lt;=EOMONTH(F$4,0))*(Diário!$F$4:$F$2662))</f>
        <v>14283.91</v>
      </c>
      <c r="G161" s="102">
        <f>SUMPRODUCT((Diário!$E$4:$E$2662='Analítico Cx.'!$B161)*(Diário!$B$4:$B$2662&gt;=G$4)*(Diário!$B$4:$B$2662&lt;=EOMONTH(G$4,0))*(Diário!$F$4:$F$2662))</f>
        <v>12752.19</v>
      </c>
      <c r="H161" s="102">
        <f>SUMPRODUCT((Diário!$E$4:$E$2662='Analítico Cx.'!$B161)*(Diário!$B$4:$B$2662&gt;=H$4)*(Diário!$B$4:$B$2662&lt;=EOMONTH(H$4,0))*(Diário!$F$4:$F$2662))</f>
        <v>6590.2000000000007</v>
      </c>
      <c r="I161" s="102">
        <f>SUMPRODUCT((Diário!$E$4:$E$2662='Analítico Cx.'!$B161)*(Diário!$B$4:$B$2662&gt;=I$4)*(Diário!$B$4:$B$2662&lt;=EOMONTH(I$4,0))*(Diário!$F$4:$F$2662))</f>
        <v>0</v>
      </c>
      <c r="J161" s="102">
        <f>SUMPRODUCT((Diário!$E$4:$E$2662='Analítico Cx.'!$B161)*(Diário!$B$4:$B$2662&gt;=J$4)*(Diário!$B$4:$B$2662&lt;=EOMONTH(J$4,0))*(Diário!$F$4:$F$2662))</f>
        <v>0</v>
      </c>
      <c r="K161" s="102">
        <f>SUMPRODUCT((Diário!$E$4:$E$2662='Analítico Cx.'!$B161)*(Diário!$B$4:$B$2662&gt;=K$4)*(Diário!$B$4:$B$2662&lt;=EOMONTH(K$4,0))*(Diário!$F$4:$F$2662))</f>
        <v>0</v>
      </c>
      <c r="L161" s="102">
        <f>SUMPRODUCT((Diário!$E$4:$E$2662='Analítico Cx.'!$B161)*(Diário!$B$4:$B$2662&gt;=L$4)*(Diário!$B$4:$B$2662&lt;=EOMONTH(L$4,0))*(Diário!$F$4:$F$2662))</f>
        <v>0</v>
      </c>
      <c r="M161" s="102">
        <f>SUMPRODUCT((Diário!$E$4:$E$2662='Analítico Cx.'!$B161)*(Diário!$B$4:$B$2662&gt;=M$4)*(Diário!$B$4:$B$2662&lt;=EOMONTH(M$4,0))*(Diário!$F$4:$F$2662))</f>
        <v>0</v>
      </c>
      <c r="N161" s="102">
        <f>SUMPRODUCT((Diário!$E$4:$E$2662='Analítico Cx.'!$B161)*(Diário!$B$4:$B$2662&gt;=N$4)*(Diário!$B$4:$B$2662&lt;=EOMONTH(N$4,0))*(Diário!$F$4:$F$2662))</f>
        <v>0</v>
      </c>
      <c r="O161" s="103">
        <f t="shared" si="19"/>
        <v>47892.03</v>
      </c>
      <c r="P161" s="95">
        <f t="shared" si="20"/>
        <v>2.4729813964939036E-3</v>
      </c>
    </row>
    <row r="162" spans="1:16" ht="23.25" customHeight="1">
      <c r="A162" s="40" t="s">
        <v>550</v>
      </c>
      <c r="B162" s="60" t="s">
        <v>497</v>
      </c>
      <c r="C162" s="102">
        <f>SUMPRODUCT((Diário!$E$4:$E$2662='Analítico Cx.'!$B162)*(Diário!$B$4:$B$2662&gt;=C$4)*(Diário!$B$4:$B$2662&lt;=EOMONTH(C$4,0))*(Diário!$F$4:$F$2662))</f>
        <v>2746.47</v>
      </c>
      <c r="D162" s="102">
        <f>SUMPRODUCT((Diário!$E$4:$E$2662='Analítico Cx.'!$B162)*(Diário!$B$4:$B$2662&gt;=D$4)*(Diário!$B$4:$B$2662&lt;=EOMONTH(D$4,0))*(Diário!$F$4:$F$2662))</f>
        <v>2451.92</v>
      </c>
      <c r="E162" s="102">
        <f>SUMPRODUCT((Diário!$E$4:$E$2662='Analítico Cx.'!$B162)*(Diário!$B$4:$B$2662&gt;=E$4)*(Diário!$B$4:$B$2662&lt;=EOMONTH(E$4,0))*(Diário!$F$4:$F$2662))</f>
        <v>4264.6499999999996</v>
      </c>
      <c r="F162" s="102">
        <f>SUMPRODUCT((Diário!$E$4:$E$2662='Analítico Cx.'!$B162)*(Diário!$B$4:$B$2662&gt;=F$4)*(Diário!$B$4:$B$2662&lt;=EOMONTH(F$4,0))*(Diário!$F$4:$F$2662))</f>
        <v>11535.3</v>
      </c>
      <c r="G162" s="102">
        <f>SUMPRODUCT((Diário!$E$4:$E$2662='Analítico Cx.'!$B162)*(Diário!$B$4:$B$2662&gt;=G$4)*(Diário!$B$4:$B$2662&lt;=EOMONTH(G$4,0))*(Diário!$F$4:$F$2662))</f>
        <v>11004.429999999998</v>
      </c>
      <c r="H162" s="102">
        <f>SUMPRODUCT((Diário!$E$4:$E$2662='Analítico Cx.'!$B162)*(Diário!$B$4:$B$2662&gt;=H$4)*(Diário!$B$4:$B$2662&lt;=EOMONTH(H$4,0))*(Diário!$F$4:$F$2662))</f>
        <v>15034.81</v>
      </c>
      <c r="I162" s="102">
        <f>SUMPRODUCT((Diário!$E$4:$E$2662='Analítico Cx.'!$B162)*(Diário!$B$4:$B$2662&gt;=I$4)*(Diário!$B$4:$B$2662&lt;=EOMONTH(I$4,0))*(Diário!$F$4:$F$2662))</f>
        <v>0</v>
      </c>
      <c r="J162" s="102">
        <f>SUMPRODUCT((Diário!$E$4:$E$2662='Analítico Cx.'!$B162)*(Diário!$B$4:$B$2662&gt;=J$4)*(Diário!$B$4:$B$2662&lt;=EOMONTH(J$4,0))*(Diário!$F$4:$F$2662))</f>
        <v>0</v>
      </c>
      <c r="K162" s="102">
        <f>SUMPRODUCT((Diário!$E$4:$E$2662='Analítico Cx.'!$B162)*(Diário!$B$4:$B$2662&gt;=K$4)*(Diário!$B$4:$B$2662&lt;=EOMONTH(K$4,0))*(Diário!$F$4:$F$2662))</f>
        <v>0</v>
      </c>
      <c r="L162" s="102">
        <f>SUMPRODUCT((Diário!$E$4:$E$2662='Analítico Cx.'!$B162)*(Diário!$B$4:$B$2662&gt;=L$4)*(Diário!$B$4:$B$2662&lt;=EOMONTH(L$4,0))*(Diário!$F$4:$F$2662))</f>
        <v>0</v>
      </c>
      <c r="M162" s="102">
        <f>SUMPRODUCT((Diário!$E$4:$E$2662='Analítico Cx.'!$B162)*(Diário!$B$4:$B$2662&gt;=M$4)*(Diário!$B$4:$B$2662&lt;=EOMONTH(M$4,0))*(Diário!$F$4:$F$2662))</f>
        <v>0</v>
      </c>
      <c r="N162" s="102">
        <f>SUMPRODUCT((Diário!$E$4:$E$2662='Analítico Cx.'!$B162)*(Diário!$B$4:$B$2662&gt;=N$4)*(Diário!$B$4:$B$2662&lt;=EOMONTH(N$4,0))*(Diário!$F$4:$F$2662))</f>
        <v>0</v>
      </c>
      <c r="O162" s="103">
        <f t="shared" si="19"/>
        <v>47037.579999999994</v>
      </c>
      <c r="P162" s="95">
        <f t="shared" si="20"/>
        <v>2.4288605071886428E-3</v>
      </c>
    </row>
    <row r="163" spans="1:16" ht="23.25" customHeight="1">
      <c r="A163" s="40" t="s">
        <v>551</v>
      </c>
      <c r="B163" s="60" t="s">
        <v>498</v>
      </c>
      <c r="C163" s="102">
        <f>SUMPRODUCT((Diário!$E$4:$E$2662='Analítico Cx.'!$B163)*(Diário!$B$4:$B$2662&gt;=C$4)*(Diário!$B$4:$B$2662&lt;=EOMONTH(C$4,0))*(Diário!$F$4:$F$2662))</f>
        <v>8256.7999999999993</v>
      </c>
      <c r="D163" s="102">
        <f>SUMPRODUCT((Diário!$E$4:$E$2662='Analítico Cx.'!$B163)*(Diário!$B$4:$B$2662&gt;=D$4)*(Diário!$B$4:$B$2662&lt;=EOMONTH(D$4,0))*(Diário!$F$4:$F$2662))</f>
        <v>30599.7</v>
      </c>
      <c r="E163" s="102">
        <f>SUMPRODUCT((Diário!$E$4:$E$2662='Analítico Cx.'!$B163)*(Diário!$B$4:$B$2662&gt;=E$4)*(Diário!$B$4:$B$2662&lt;=EOMONTH(E$4,0))*(Diário!$F$4:$F$2662))</f>
        <v>75293.010000000009</v>
      </c>
      <c r="F163" s="102">
        <f>SUMPRODUCT((Diário!$E$4:$E$2662='Analítico Cx.'!$B163)*(Diário!$B$4:$B$2662&gt;=F$4)*(Diário!$B$4:$B$2662&lt;=EOMONTH(F$4,0))*(Diário!$F$4:$F$2662))</f>
        <v>43453.52</v>
      </c>
      <c r="G163" s="102">
        <f>SUMPRODUCT((Diário!$E$4:$E$2662='Analítico Cx.'!$B163)*(Diário!$B$4:$B$2662&gt;=G$4)*(Diário!$B$4:$B$2662&lt;=EOMONTH(G$4,0))*(Diário!$F$4:$F$2662))</f>
        <v>35637.43</v>
      </c>
      <c r="H163" s="102">
        <f>SUMPRODUCT((Diário!$E$4:$E$2662='Analítico Cx.'!$B163)*(Diário!$B$4:$B$2662&gt;=H$4)*(Diário!$B$4:$B$2662&lt;=EOMONTH(H$4,0))*(Diário!$F$4:$F$2662))</f>
        <v>8068.81</v>
      </c>
      <c r="I163" s="102">
        <f>SUMPRODUCT((Diário!$E$4:$E$2662='Analítico Cx.'!$B163)*(Diário!$B$4:$B$2662&gt;=I$4)*(Diário!$B$4:$B$2662&lt;=EOMONTH(I$4,0))*(Diário!$F$4:$F$2662))</f>
        <v>0</v>
      </c>
      <c r="J163" s="102">
        <f>SUMPRODUCT((Diário!$E$4:$E$2662='Analítico Cx.'!$B163)*(Diário!$B$4:$B$2662&gt;=J$4)*(Diário!$B$4:$B$2662&lt;=EOMONTH(J$4,0))*(Diário!$F$4:$F$2662))</f>
        <v>0</v>
      </c>
      <c r="K163" s="102">
        <f>SUMPRODUCT((Diário!$E$4:$E$2662='Analítico Cx.'!$B163)*(Diário!$B$4:$B$2662&gt;=K$4)*(Diário!$B$4:$B$2662&lt;=EOMONTH(K$4,0))*(Diário!$F$4:$F$2662))</f>
        <v>0</v>
      </c>
      <c r="L163" s="102">
        <f>SUMPRODUCT((Diário!$E$4:$E$2662='Analítico Cx.'!$B163)*(Diário!$B$4:$B$2662&gt;=L$4)*(Diário!$B$4:$B$2662&lt;=EOMONTH(L$4,0))*(Diário!$F$4:$F$2662))</f>
        <v>0</v>
      </c>
      <c r="M163" s="102">
        <f>SUMPRODUCT((Diário!$E$4:$E$2662='Analítico Cx.'!$B163)*(Diário!$B$4:$B$2662&gt;=M$4)*(Diário!$B$4:$B$2662&lt;=EOMONTH(M$4,0))*(Diário!$F$4:$F$2662))</f>
        <v>0</v>
      </c>
      <c r="N163" s="102">
        <f>SUMPRODUCT((Diário!$E$4:$E$2662='Analítico Cx.'!$B163)*(Diário!$B$4:$B$2662&gt;=N$4)*(Diário!$B$4:$B$2662&lt;=EOMONTH(N$4,0))*(Diário!$F$4:$F$2662))</f>
        <v>0</v>
      </c>
      <c r="O163" s="103">
        <f t="shared" si="19"/>
        <v>201309.27</v>
      </c>
      <c r="P163" s="95">
        <f t="shared" si="20"/>
        <v>1.0394925411425832E-2</v>
      </c>
    </row>
    <row r="164" spans="1:16" ht="23.25" customHeight="1">
      <c r="A164" s="40" t="s">
        <v>552</v>
      </c>
      <c r="B164" s="60" t="s">
        <v>499</v>
      </c>
      <c r="C164" s="102">
        <f>SUMPRODUCT((Diário!$E$4:$E$2662='Analítico Cx.'!$B164)*(Diário!$B$4:$B$2662&gt;=C$4)*(Diário!$B$4:$B$2662&lt;=EOMONTH(C$4,0))*(Diário!$F$4:$F$2662))</f>
        <v>0</v>
      </c>
      <c r="D164" s="102">
        <f>SUMPRODUCT((Diário!$E$4:$E$2662='Analítico Cx.'!$B164)*(Diário!$B$4:$B$2662&gt;=D$4)*(Diário!$B$4:$B$2662&lt;=EOMONTH(D$4,0))*(Diário!$F$4:$F$2662))</f>
        <v>0</v>
      </c>
      <c r="E164" s="102">
        <f>SUMPRODUCT((Diário!$E$4:$E$2662='Analítico Cx.'!$B164)*(Diário!$B$4:$B$2662&gt;=E$4)*(Diário!$B$4:$B$2662&lt;=EOMONTH(E$4,0))*(Diário!$F$4:$F$2662))</f>
        <v>0</v>
      </c>
      <c r="F164" s="102">
        <f>SUMPRODUCT((Diário!$E$4:$E$2662='Analítico Cx.'!$B164)*(Diário!$B$4:$B$2662&gt;=F$4)*(Diário!$B$4:$B$2662&lt;=EOMONTH(F$4,0))*(Diário!$F$4:$F$2662))</f>
        <v>0</v>
      </c>
      <c r="G164" s="102">
        <f>SUMPRODUCT((Diário!$E$4:$E$2662='Analítico Cx.'!$B164)*(Diário!$B$4:$B$2662&gt;=G$4)*(Diário!$B$4:$B$2662&lt;=EOMONTH(G$4,0))*(Diário!$F$4:$F$2662))</f>
        <v>0</v>
      </c>
      <c r="H164" s="102">
        <f>SUMPRODUCT((Diário!$E$4:$E$2662='Analítico Cx.'!$B164)*(Diário!$B$4:$B$2662&gt;=H$4)*(Diário!$B$4:$B$2662&lt;=EOMONTH(H$4,0))*(Diário!$F$4:$F$2662))</f>
        <v>0</v>
      </c>
      <c r="I164" s="102">
        <f>SUMPRODUCT((Diário!$E$4:$E$2662='Analítico Cx.'!$B164)*(Diário!$B$4:$B$2662&gt;=I$4)*(Diário!$B$4:$B$2662&lt;=EOMONTH(I$4,0))*(Diário!$F$4:$F$2662))</f>
        <v>0</v>
      </c>
      <c r="J164" s="102">
        <f>SUMPRODUCT((Diário!$E$4:$E$2662='Analítico Cx.'!$B164)*(Diário!$B$4:$B$2662&gt;=J$4)*(Diário!$B$4:$B$2662&lt;=EOMONTH(J$4,0))*(Diário!$F$4:$F$2662))</f>
        <v>0</v>
      </c>
      <c r="K164" s="102">
        <f>SUMPRODUCT((Diário!$E$4:$E$2662='Analítico Cx.'!$B164)*(Diário!$B$4:$B$2662&gt;=K$4)*(Diário!$B$4:$B$2662&lt;=EOMONTH(K$4,0))*(Diário!$F$4:$F$2662))</f>
        <v>0</v>
      </c>
      <c r="L164" s="102">
        <f>SUMPRODUCT((Diário!$E$4:$E$2662='Analítico Cx.'!$B164)*(Diário!$B$4:$B$2662&gt;=L$4)*(Diário!$B$4:$B$2662&lt;=EOMONTH(L$4,0))*(Diário!$F$4:$F$2662))</f>
        <v>0</v>
      </c>
      <c r="M164" s="102">
        <f>SUMPRODUCT((Diário!$E$4:$E$2662='Analítico Cx.'!$B164)*(Diário!$B$4:$B$2662&gt;=M$4)*(Diário!$B$4:$B$2662&lt;=EOMONTH(M$4,0))*(Diário!$F$4:$F$2662))</f>
        <v>0</v>
      </c>
      <c r="N164" s="102">
        <f>SUMPRODUCT((Diário!$E$4:$E$2662='Analítico Cx.'!$B164)*(Diário!$B$4:$B$2662&gt;=N$4)*(Diário!$B$4:$B$2662&lt;=EOMONTH(N$4,0))*(Diário!$F$4:$F$2662))</f>
        <v>0</v>
      </c>
      <c r="O164" s="103">
        <f t="shared" si="19"/>
        <v>0</v>
      </c>
      <c r="P164" s="95">
        <f t="shared" si="20"/>
        <v>0</v>
      </c>
    </row>
    <row r="165" spans="1:16" ht="23.25" customHeight="1">
      <c r="A165" s="40" t="s">
        <v>553</v>
      </c>
      <c r="B165" s="60" t="s">
        <v>500</v>
      </c>
      <c r="C165" s="102">
        <f>SUMPRODUCT((Diário!$E$4:$E$2662='Analítico Cx.'!$B165)*(Diário!$B$4:$B$2662&gt;=C$4)*(Diário!$B$4:$B$2662&lt;=EOMONTH(C$4,0))*(Diário!$F$4:$F$2662))</f>
        <v>0</v>
      </c>
      <c r="D165" s="102">
        <f>SUMPRODUCT((Diário!$E$4:$E$2662='Analítico Cx.'!$B165)*(Diário!$B$4:$B$2662&gt;=D$4)*(Diário!$B$4:$B$2662&lt;=EOMONTH(D$4,0))*(Diário!$F$4:$F$2662))</f>
        <v>1685</v>
      </c>
      <c r="E165" s="102">
        <f>SUMPRODUCT((Diário!$E$4:$E$2662='Analítico Cx.'!$B165)*(Diário!$B$4:$B$2662&gt;=E$4)*(Diário!$B$4:$B$2662&lt;=EOMONTH(E$4,0))*(Diário!$F$4:$F$2662))</f>
        <v>1885</v>
      </c>
      <c r="F165" s="102">
        <f>SUMPRODUCT((Diário!$E$4:$E$2662='Analítico Cx.'!$B165)*(Diário!$B$4:$B$2662&gt;=F$4)*(Diário!$B$4:$B$2662&lt;=EOMONTH(F$4,0))*(Diário!$F$4:$F$2662))</f>
        <v>4160</v>
      </c>
      <c r="G165" s="102">
        <f>SUMPRODUCT((Diário!$E$4:$E$2662='Analítico Cx.'!$B165)*(Diário!$B$4:$B$2662&gt;=G$4)*(Diário!$B$4:$B$2662&lt;=EOMONTH(G$4,0))*(Diário!$F$4:$F$2662))</f>
        <v>5848.02</v>
      </c>
      <c r="H165" s="102">
        <f>SUMPRODUCT((Diário!$E$4:$E$2662='Analítico Cx.'!$B165)*(Diário!$B$4:$B$2662&gt;=H$4)*(Diário!$B$4:$B$2662&lt;=EOMONTH(H$4,0))*(Diário!$F$4:$F$2662))</f>
        <v>2764.96</v>
      </c>
      <c r="I165" s="102">
        <f>SUMPRODUCT((Diário!$E$4:$E$2662='Analítico Cx.'!$B165)*(Diário!$B$4:$B$2662&gt;=I$4)*(Diário!$B$4:$B$2662&lt;=EOMONTH(I$4,0))*(Diário!$F$4:$F$2662))</f>
        <v>0</v>
      </c>
      <c r="J165" s="102">
        <f>SUMPRODUCT((Diário!$E$4:$E$2662='Analítico Cx.'!$B165)*(Diário!$B$4:$B$2662&gt;=J$4)*(Diário!$B$4:$B$2662&lt;=EOMONTH(J$4,0))*(Diário!$F$4:$F$2662))</f>
        <v>0</v>
      </c>
      <c r="K165" s="102">
        <f>SUMPRODUCT((Diário!$E$4:$E$2662='Analítico Cx.'!$B165)*(Diário!$B$4:$B$2662&gt;=K$4)*(Diário!$B$4:$B$2662&lt;=EOMONTH(K$4,0))*(Diário!$F$4:$F$2662))</f>
        <v>0</v>
      </c>
      <c r="L165" s="102">
        <f>SUMPRODUCT((Diário!$E$4:$E$2662='Analítico Cx.'!$B165)*(Diário!$B$4:$B$2662&gt;=L$4)*(Diário!$B$4:$B$2662&lt;=EOMONTH(L$4,0))*(Diário!$F$4:$F$2662))</f>
        <v>0</v>
      </c>
      <c r="M165" s="102">
        <f>SUMPRODUCT((Diário!$E$4:$E$2662='Analítico Cx.'!$B165)*(Diário!$B$4:$B$2662&gt;=M$4)*(Diário!$B$4:$B$2662&lt;=EOMONTH(M$4,0))*(Diário!$F$4:$F$2662))</f>
        <v>0</v>
      </c>
      <c r="N165" s="102">
        <f>SUMPRODUCT((Diário!$E$4:$E$2662='Analítico Cx.'!$B165)*(Diário!$B$4:$B$2662&gt;=N$4)*(Diário!$B$4:$B$2662&lt;=EOMONTH(N$4,0))*(Diário!$F$4:$F$2662))</f>
        <v>0</v>
      </c>
      <c r="O165" s="103">
        <f t="shared" si="19"/>
        <v>16342.98</v>
      </c>
      <c r="P165" s="95">
        <f t="shared" si="20"/>
        <v>8.4389585288558323E-4</v>
      </c>
    </row>
    <row r="166" spans="1:16" ht="23.25" customHeight="1">
      <c r="A166" s="40" t="s">
        <v>554</v>
      </c>
      <c r="B166" s="60" t="s">
        <v>501</v>
      </c>
      <c r="C166" s="102">
        <f>SUMPRODUCT((Diário!$E$4:$E$2662='Analítico Cx.'!$B166)*(Diário!$B$4:$B$2662&gt;=C$4)*(Diário!$B$4:$B$2662&lt;=EOMONTH(C$4,0))*(Diário!$F$4:$F$2662))</f>
        <v>0</v>
      </c>
      <c r="D166" s="102">
        <f>SUMPRODUCT((Diário!$E$4:$E$2662='Analítico Cx.'!$B166)*(Diário!$B$4:$B$2662&gt;=D$4)*(Diário!$B$4:$B$2662&lt;=EOMONTH(D$4,0))*(Diário!$F$4:$F$2662))</f>
        <v>4814.3999999999996</v>
      </c>
      <c r="E166" s="102">
        <f>SUMPRODUCT((Diário!$E$4:$E$2662='Analítico Cx.'!$B166)*(Diário!$B$4:$B$2662&gt;=E$4)*(Diário!$B$4:$B$2662&lt;=EOMONTH(E$4,0))*(Diário!$F$4:$F$2662))</f>
        <v>0</v>
      </c>
      <c r="F166" s="102">
        <f>SUMPRODUCT((Diário!$E$4:$E$2662='Analítico Cx.'!$B166)*(Diário!$B$4:$B$2662&gt;=F$4)*(Diário!$B$4:$B$2662&lt;=EOMONTH(F$4,0))*(Diário!$F$4:$F$2662))</f>
        <v>0</v>
      </c>
      <c r="G166" s="102">
        <f>SUMPRODUCT((Diário!$E$4:$E$2662='Analítico Cx.'!$B166)*(Diário!$B$4:$B$2662&gt;=G$4)*(Diário!$B$4:$B$2662&lt;=EOMONTH(G$4,0))*(Diário!$F$4:$F$2662))</f>
        <v>1754.52</v>
      </c>
      <c r="H166" s="102">
        <f>SUMPRODUCT((Diário!$E$4:$E$2662='Analítico Cx.'!$B166)*(Diário!$B$4:$B$2662&gt;=H$4)*(Diário!$B$4:$B$2662&lt;=EOMONTH(H$4,0))*(Diário!$F$4:$F$2662))</f>
        <v>4658.71</v>
      </c>
      <c r="I166" s="102">
        <f>SUMPRODUCT((Diário!$E$4:$E$2662='Analítico Cx.'!$B166)*(Diário!$B$4:$B$2662&gt;=I$4)*(Diário!$B$4:$B$2662&lt;=EOMONTH(I$4,0))*(Diário!$F$4:$F$2662))</f>
        <v>0</v>
      </c>
      <c r="J166" s="102">
        <f>SUMPRODUCT((Diário!$E$4:$E$2662='Analítico Cx.'!$B166)*(Diário!$B$4:$B$2662&gt;=J$4)*(Diário!$B$4:$B$2662&lt;=EOMONTH(J$4,0))*(Diário!$F$4:$F$2662))</f>
        <v>0</v>
      </c>
      <c r="K166" s="102">
        <f>SUMPRODUCT((Diário!$E$4:$E$2662='Analítico Cx.'!$B166)*(Diário!$B$4:$B$2662&gt;=K$4)*(Diário!$B$4:$B$2662&lt;=EOMONTH(K$4,0))*(Diário!$F$4:$F$2662))</f>
        <v>0</v>
      </c>
      <c r="L166" s="102">
        <f>SUMPRODUCT((Diário!$E$4:$E$2662='Analítico Cx.'!$B166)*(Diário!$B$4:$B$2662&gt;=L$4)*(Diário!$B$4:$B$2662&lt;=EOMONTH(L$4,0))*(Diário!$F$4:$F$2662))</f>
        <v>0</v>
      </c>
      <c r="M166" s="102">
        <f>SUMPRODUCT((Diário!$E$4:$E$2662='Analítico Cx.'!$B166)*(Diário!$B$4:$B$2662&gt;=M$4)*(Diário!$B$4:$B$2662&lt;=EOMONTH(M$4,0))*(Diário!$F$4:$F$2662))</f>
        <v>0</v>
      </c>
      <c r="N166" s="102">
        <f>SUMPRODUCT((Diário!$E$4:$E$2662='Analítico Cx.'!$B166)*(Diário!$B$4:$B$2662&gt;=N$4)*(Diário!$B$4:$B$2662&lt;=EOMONTH(N$4,0))*(Diário!$F$4:$F$2662))</f>
        <v>0</v>
      </c>
      <c r="O166" s="103">
        <f t="shared" si="19"/>
        <v>11227.630000000001</v>
      </c>
      <c r="P166" s="95">
        <f t="shared" si="20"/>
        <v>5.797565924166683E-4</v>
      </c>
    </row>
    <row r="167" spans="1:16" ht="23.25" customHeight="1">
      <c r="A167" s="40" t="s">
        <v>555</v>
      </c>
      <c r="B167" s="60" t="s">
        <v>502</v>
      </c>
      <c r="C167" s="102">
        <f>SUMPRODUCT((Diário!$E$4:$E$2662='Analítico Cx.'!$B167)*(Diário!$B$4:$B$2662&gt;=C$4)*(Diário!$B$4:$B$2662&lt;=EOMONTH(C$4,0))*(Diário!$F$4:$F$2662))</f>
        <v>2258.79</v>
      </c>
      <c r="D167" s="102">
        <f>SUMPRODUCT((Diário!$E$4:$E$2662='Analítico Cx.'!$B167)*(Diário!$B$4:$B$2662&gt;=D$4)*(Diário!$B$4:$B$2662&lt;=EOMONTH(D$4,0))*(Diário!$F$4:$F$2662))</f>
        <v>15129.509999999998</v>
      </c>
      <c r="E167" s="102">
        <f>SUMPRODUCT((Diário!$E$4:$E$2662='Analítico Cx.'!$B167)*(Diário!$B$4:$B$2662&gt;=E$4)*(Diário!$B$4:$B$2662&lt;=EOMONTH(E$4,0))*(Diário!$F$4:$F$2662))</f>
        <v>11973.14</v>
      </c>
      <c r="F167" s="102">
        <f>SUMPRODUCT((Diário!$E$4:$E$2662='Analítico Cx.'!$B167)*(Diário!$B$4:$B$2662&gt;=F$4)*(Diário!$B$4:$B$2662&lt;=EOMONTH(F$4,0))*(Diário!$F$4:$F$2662))</f>
        <v>29625.439999999999</v>
      </c>
      <c r="G167" s="102">
        <f>SUMPRODUCT((Diário!$E$4:$E$2662='Analítico Cx.'!$B167)*(Diário!$B$4:$B$2662&gt;=G$4)*(Diário!$B$4:$B$2662&lt;=EOMONTH(G$4,0))*(Diário!$F$4:$F$2662))</f>
        <v>26026.01</v>
      </c>
      <c r="H167" s="102">
        <f>SUMPRODUCT((Diário!$E$4:$E$2662='Analítico Cx.'!$B167)*(Diário!$B$4:$B$2662&gt;=H$4)*(Diário!$B$4:$B$2662&lt;=EOMONTH(H$4,0))*(Diário!$F$4:$F$2662))</f>
        <v>29509.73</v>
      </c>
      <c r="I167" s="102">
        <f>SUMPRODUCT((Diário!$E$4:$E$2662='Analítico Cx.'!$B167)*(Diário!$B$4:$B$2662&gt;=I$4)*(Diário!$B$4:$B$2662&lt;=EOMONTH(I$4,0))*(Diário!$F$4:$F$2662))</f>
        <v>0</v>
      </c>
      <c r="J167" s="102">
        <f>SUMPRODUCT((Diário!$E$4:$E$2662='Analítico Cx.'!$B167)*(Diário!$B$4:$B$2662&gt;=J$4)*(Diário!$B$4:$B$2662&lt;=EOMONTH(J$4,0))*(Diário!$F$4:$F$2662))</f>
        <v>0</v>
      </c>
      <c r="K167" s="102">
        <f>SUMPRODUCT((Diário!$E$4:$E$2662='Analítico Cx.'!$B167)*(Diário!$B$4:$B$2662&gt;=K$4)*(Diário!$B$4:$B$2662&lt;=EOMONTH(K$4,0))*(Diário!$F$4:$F$2662))</f>
        <v>0</v>
      </c>
      <c r="L167" s="102">
        <f>SUMPRODUCT((Diário!$E$4:$E$2662='Analítico Cx.'!$B167)*(Diário!$B$4:$B$2662&gt;=L$4)*(Diário!$B$4:$B$2662&lt;=EOMONTH(L$4,0))*(Diário!$F$4:$F$2662))</f>
        <v>0</v>
      </c>
      <c r="M167" s="102">
        <f>SUMPRODUCT((Diário!$E$4:$E$2662='Analítico Cx.'!$B167)*(Diário!$B$4:$B$2662&gt;=M$4)*(Diário!$B$4:$B$2662&lt;=EOMONTH(M$4,0))*(Diário!$F$4:$F$2662))</f>
        <v>0</v>
      </c>
      <c r="N167" s="102">
        <f>SUMPRODUCT((Diário!$E$4:$E$2662='Analítico Cx.'!$B167)*(Diário!$B$4:$B$2662&gt;=N$4)*(Diário!$B$4:$B$2662&lt;=EOMONTH(N$4,0))*(Diário!$F$4:$F$2662))</f>
        <v>0</v>
      </c>
      <c r="O167" s="103">
        <f t="shared" si="19"/>
        <v>114522.62</v>
      </c>
      <c r="P167" s="95">
        <f t="shared" si="20"/>
        <v>5.9135582421071036E-3</v>
      </c>
    </row>
    <row r="168" spans="1:16" ht="23.25" customHeight="1">
      <c r="A168" s="40" t="s">
        <v>556</v>
      </c>
      <c r="B168" s="60" t="s">
        <v>503</v>
      </c>
      <c r="C168" s="102">
        <f>SUMPRODUCT((Diário!$E$4:$E$2662='Analítico Cx.'!$B168)*(Diário!$B$4:$B$2662&gt;=C$4)*(Diário!$B$4:$B$2662&lt;=EOMONTH(C$4,0))*(Diário!$F$4:$F$2662))</f>
        <v>1200</v>
      </c>
      <c r="D168" s="102">
        <f>SUMPRODUCT((Diário!$E$4:$E$2662='Analítico Cx.'!$B168)*(Diário!$B$4:$B$2662&gt;=D$4)*(Diário!$B$4:$B$2662&lt;=EOMONTH(D$4,0))*(Diário!$F$4:$F$2662))</f>
        <v>0</v>
      </c>
      <c r="E168" s="102">
        <f>SUMPRODUCT((Diário!$E$4:$E$2662='Analítico Cx.'!$B168)*(Diário!$B$4:$B$2662&gt;=E$4)*(Diário!$B$4:$B$2662&lt;=EOMONTH(E$4,0))*(Diário!$F$4:$F$2662))</f>
        <v>0</v>
      </c>
      <c r="F168" s="102">
        <f>SUMPRODUCT((Diário!$E$4:$E$2662='Analítico Cx.'!$B168)*(Diário!$B$4:$B$2662&gt;=F$4)*(Diário!$B$4:$B$2662&lt;=EOMONTH(F$4,0))*(Diário!$F$4:$F$2662))</f>
        <v>8500</v>
      </c>
      <c r="G168" s="102">
        <f>SUMPRODUCT((Diário!$E$4:$E$2662='Analítico Cx.'!$B168)*(Diário!$B$4:$B$2662&gt;=G$4)*(Diário!$B$4:$B$2662&lt;=EOMONTH(G$4,0))*(Diário!$F$4:$F$2662))</f>
        <v>60617.65</v>
      </c>
      <c r="H168" s="102">
        <f>SUMPRODUCT((Diário!$E$4:$E$2662='Analítico Cx.'!$B168)*(Diário!$B$4:$B$2662&gt;=H$4)*(Diário!$B$4:$B$2662&lt;=EOMONTH(H$4,0))*(Diário!$F$4:$F$2662))</f>
        <v>75376.3</v>
      </c>
      <c r="I168" s="102">
        <f>SUMPRODUCT((Diário!$E$4:$E$2662='Analítico Cx.'!$B168)*(Diário!$B$4:$B$2662&gt;=I$4)*(Diário!$B$4:$B$2662&lt;=EOMONTH(I$4,0))*(Diário!$F$4:$F$2662))</f>
        <v>0</v>
      </c>
      <c r="J168" s="102">
        <f>SUMPRODUCT((Diário!$E$4:$E$2662='Analítico Cx.'!$B168)*(Diário!$B$4:$B$2662&gt;=J$4)*(Diário!$B$4:$B$2662&lt;=EOMONTH(J$4,0))*(Diário!$F$4:$F$2662))</f>
        <v>0</v>
      </c>
      <c r="K168" s="102">
        <f>SUMPRODUCT((Diário!$E$4:$E$2662='Analítico Cx.'!$B168)*(Diário!$B$4:$B$2662&gt;=K$4)*(Diário!$B$4:$B$2662&lt;=EOMONTH(K$4,0))*(Diário!$F$4:$F$2662))</f>
        <v>0</v>
      </c>
      <c r="L168" s="102">
        <f>SUMPRODUCT((Diário!$E$4:$E$2662='Analítico Cx.'!$B168)*(Diário!$B$4:$B$2662&gt;=L$4)*(Diário!$B$4:$B$2662&lt;=EOMONTH(L$4,0))*(Diário!$F$4:$F$2662))</f>
        <v>0</v>
      </c>
      <c r="M168" s="102">
        <f>SUMPRODUCT((Diário!$E$4:$E$2662='Analítico Cx.'!$B168)*(Diário!$B$4:$B$2662&gt;=M$4)*(Diário!$B$4:$B$2662&lt;=EOMONTH(M$4,0))*(Diário!$F$4:$F$2662))</f>
        <v>0</v>
      </c>
      <c r="N168" s="102">
        <f>SUMPRODUCT((Diário!$E$4:$E$2662='Analítico Cx.'!$B168)*(Diário!$B$4:$B$2662&gt;=N$4)*(Diário!$B$4:$B$2662&lt;=EOMONTH(N$4,0))*(Diário!$F$4:$F$2662))</f>
        <v>0</v>
      </c>
      <c r="O168" s="103">
        <f t="shared" si="19"/>
        <v>145693.95000000001</v>
      </c>
      <c r="P168" s="95">
        <f t="shared" si="20"/>
        <v>7.5231396107392611E-3</v>
      </c>
    </row>
    <row r="169" spans="1:16" ht="23.25" customHeight="1">
      <c r="A169" s="40" t="s">
        <v>557</v>
      </c>
      <c r="B169" s="60" t="s">
        <v>504</v>
      </c>
      <c r="C169" s="102">
        <f>SUMPRODUCT((Diário!$E$4:$E$2662='Analítico Cx.'!$B169)*(Diário!$B$4:$B$2662&gt;=C$4)*(Diário!$B$4:$B$2662&lt;=EOMONTH(C$4,0))*(Diário!$F$4:$F$2662))</f>
        <v>1794.6100000000001</v>
      </c>
      <c r="D169" s="102">
        <f>SUMPRODUCT((Diário!$E$4:$E$2662='Analítico Cx.'!$B169)*(Diário!$B$4:$B$2662&gt;=D$4)*(Diário!$B$4:$B$2662&lt;=EOMONTH(D$4,0))*(Diário!$F$4:$F$2662))</f>
        <v>12.06</v>
      </c>
      <c r="E169" s="102">
        <f>SUMPRODUCT((Diário!$E$4:$E$2662='Analítico Cx.'!$B169)*(Diário!$B$4:$B$2662&gt;=E$4)*(Diário!$B$4:$B$2662&lt;=EOMONTH(E$4,0))*(Diário!$F$4:$F$2662))</f>
        <v>248.81</v>
      </c>
      <c r="F169" s="102">
        <f>SUMPRODUCT((Diário!$E$4:$E$2662='Analítico Cx.'!$B169)*(Diário!$B$4:$B$2662&gt;=F$4)*(Diário!$B$4:$B$2662&lt;=EOMONTH(F$4,0))*(Diário!$F$4:$F$2662))</f>
        <v>2117.52</v>
      </c>
      <c r="G169" s="102">
        <f>SUMPRODUCT((Diário!$E$4:$E$2662='Analítico Cx.'!$B169)*(Diário!$B$4:$B$2662&gt;=G$4)*(Diário!$B$4:$B$2662&lt;=EOMONTH(G$4,0))*(Diário!$F$4:$F$2662))</f>
        <v>839.36</v>
      </c>
      <c r="H169" s="102">
        <f>SUMPRODUCT((Diário!$E$4:$E$2662='Analítico Cx.'!$B169)*(Diário!$B$4:$B$2662&gt;=H$4)*(Diário!$B$4:$B$2662&lt;=EOMONTH(H$4,0))*(Diário!$F$4:$F$2662))</f>
        <v>5872.76</v>
      </c>
      <c r="I169" s="102">
        <f>SUMPRODUCT((Diário!$E$4:$E$2662='Analítico Cx.'!$B169)*(Diário!$B$4:$B$2662&gt;=I$4)*(Diário!$B$4:$B$2662&lt;=EOMONTH(I$4,0))*(Diário!$F$4:$F$2662))</f>
        <v>0</v>
      </c>
      <c r="J169" s="102">
        <f>SUMPRODUCT((Diário!$E$4:$E$2662='Analítico Cx.'!$B169)*(Diário!$B$4:$B$2662&gt;=J$4)*(Diário!$B$4:$B$2662&lt;=EOMONTH(J$4,0))*(Diário!$F$4:$F$2662))</f>
        <v>0</v>
      </c>
      <c r="K169" s="102">
        <f>SUMPRODUCT((Diário!$E$4:$E$2662='Analítico Cx.'!$B169)*(Diário!$B$4:$B$2662&gt;=K$4)*(Diário!$B$4:$B$2662&lt;=EOMONTH(K$4,0))*(Diário!$F$4:$F$2662))</f>
        <v>0</v>
      </c>
      <c r="L169" s="102">
        <f>SUMPRODUCT((Diário!$E$4:$E$2662='Analítico Cx.'!$B169)*(Diário!$B$4:$B$2662&gt;=L$4)*(Diário!$B$4:$B$2662&lt;=EOMONTH(L$4,0))*(Diário!$F$4:$F$2662))</f>
        <v>0</v>
      </c>
      <c r="M169" s="102">
        <f>SUMPRODUCT((Diário!$E$4:$E$2662='Analítico Cx.'!$B169)*(Diário!$B$4:$B$2662&gt;=M$4)*(Diário!$B$4:$B$2662&lt;=EOMONTH(M$4,0))*(Diário!$F$4:$F$2662))</f>
        <v>0</v>
      </c>
      <c r="N169" s="102">
        <f>SUMPRODUCT((Diário!$E$4:$E$2662='Analítico Cx.'!$B169)*(Diário!$B$4:$B$2662&gt;=N$4)*(Diário!$B$4:$B$2662&lt;=EOMONTH(N$4,0))*(Diário!$F$4:$F$2662))</f>
        <v>0</v>
      </c>
      <c r="O169" s="103">
        <f t="shared" si="19"/>
        <v>10885.119999999999</v>
      </c>
      <c r="P169" s="95">
        <f t="shared" si="20"/>
        <v>5.6207054197960954E-4</v>
      </c>
    </row>
    <row r="170" spans="1:16" ht="23.25" customHeight="1">
      <c r="A170" s="40" t="s">
        <v>558</v>
      </c>
      <c r="B170" s="60" t="s">
        <v>505</v>
      </c>
      <c r="C170" s="102">
        <f>SUMPRODUCT((Diário!$E$4:$E$2662='Analítico Cx.'!$B170)*(Diário!$B$4:$B$2662&gt;=C$4)*(Diário!$B$4:$B$2662&lt;=EOMONTH(C$4,0))*(Diário!$F$4:$F$2662))</f>
        <v>17302.239999999998</v>
      </c>
      <c r="D170" s="102">
        <f>SUMPRODUCT((Diário!$E$4:$E$2662='Analítico Cx.'!$B170)*(Diário!$B$4:$B$2662&gt;=D$4)*(Diário!$B$4:$B$2662&lt;=EOMONTH(D$4,0))*(Diário!$F$4:$F$2662))</f>
        <v>10999.24</v>
      </c>
      <c r="E170" s="102">
        <f>SUMPRODUCT((Diário!$E$4:$E$2662='Analítico Cx.'!$B170)*(Diário!$B$4:$B$2662&gt;=E$4)*(Diário!$B$4:$B$2662&lt;=EOMONTH(E$4,0))*(Diário!$F$4:$F$2662))</f>
        <v>11946.58</v>
      </c>
      <c r="F170" s="102">
        <f>SUMPRODUCT((Diário!$E$4:$E$2662='Analítico Cx.'!$B170)*(Diário!$B$4:$B$2662&gt;=F$4)*(Diário!$B$4:$B$2662&lt;=EOMONTH(F$4,0))*(Diário!$F$4:$F$2662))</f>
        <v>13993.569999999996</v>
      </c>
      <c r="G170" s="102">
        <f>SUMPRODUCT((Diário!$E$4:$E$2662='Analítico Cx.'!$B170)*(Diário!$B$4:$B$2662&gt;=G$4)*(Diário!$B$4:$B$2662&lt;=EOMONTH(G$4,0))*(Diário!$F$4:$F$2662))</f>
        <v>44591.1</v>
      </c>
      <c r="H170" s="102">
        <f>SUMPRODUCT((Diário!$E$4:$E$2662='Analítico Cx.'!$B170)*(Diário!$B$4:$B$2662&gt;=H$4)*(Diário!$B$4:$B$2662&lt;=EOMONTH(H$4,0))*(Diário!$F$4:$F$2662))</f>
        <v>42487.360000000008</v>
      </c>
      <c r="I170" s="102">
        <f>SUMPRODUCT((Diário!$E$4:$E$2662='Analítico Cx.'!$B170)*(Diário!$B$4:$B$2662&gt;=I$4)*(Diário!$B$4:$B$2662&lt;=EOMONTH(I$4,0))*(Diário!$F$4:$F$2662))</f>
        <v>0</v>
      </c>
      <c r="J170" s="102">
        <f>SUMPRODUCT((Diário!$E$4:$E$2662='Analítico Cx.'!$B170)*(Diário!$B$4:$B$2662&gt;=J$4)*(Diário!$B$4:$B$2662&lt;=EOMONTH(J$4,0))*(Diário!$F$4:$F$2662))</f>
        <v>0</v>
      </c>
      <c r="K170" s="102">
        <f>SUMPRODUCT((Diário!$E$4:$E$2662='Analítico Cx.'!$B170)*(Diário!$B$4:$B$2662&gt;=K$4)*(Diário!$B$4:$B$2662&lt;=EOMONTH(K$4,0))*(Diário!$F$4:$F$2662))</f>
        <v>0</v>
      </c>
      <c r="L170" s="102">
        <f>SUMPRODUCT((Diário!$E$4:$E$2662='Analítico Cx.'!$B170)*(Diário!$B$4:$B$2662&gt;=L$4)*(Diário!$B$4:$B$2662&lt;=EOMONTH(L$4,0))*(Diário!$F$4:$F$2662))</f>
        <v>0</v>
      </c>
      <c r="M170" s="102">
        <f>SUMPRODUCT((Diário!$E$4:$E$2662='Analítico Cx.'!$B170)*(Diário!$B$4:$B$2662&gt;=M$4)*(Diário!$B$4:$B$2662&lt;=EOMONTH(M$4,0))*(Diário!$F$4:$F$2662))</f>
        <v>0</v>
      </c>
      <c r="N170" s="102">
        <f>SUMPRODUCT((Diário!$E$4:$E$2662='Analítico Cx.'!$B170)*(Diário!$B$4:$B$2662&gt;=N$4)*(Diário!$B$4:$B$2662&lt;=EOMONTH(N$4,0))*(Diário!$F$4:$F$2662))</f>
        <v>0</v>
      </c>
      <c r="O170" s="103">
        <f t="shared" si="19"/>
        <v>141320.09</v>
      </c>
      <c r="P170" s="95">
        <f t="shared" si="20"/>
        <v>7.297288369710872E-3</v>
      </c>
    </row>
    <row r="171" spans="1:16" ht="23.25" customHeight="1">
      <c r="A171" s="40" t="s">
        <v>559</v>
      </c>
      <c r="B171" s="60" t="s">
        <v>506</v>
      </c>
      <c r="C171" s="102">
        <f>SUMPRODUCT((Diário!$E$4:$E$2662='Analítico Cx.'!$B171)*(Diário!$B$4:$B$2662&gt;=C$4)*(Diário!$B$4:$B$2662&lt;=EOMONTH(C$4,0))*(Diário!$F$4:$F$2662))</f>
        <v>2854.8599999999997</v>
      </c>
      <c r="D171" s="102">
        <f>SUMPRODUCT((Diário!$E$4:$E$2662='Analítico Cx.'!$B171)*(Diário!$B$4:$B$2662&gt;=D$4)*(Diário!$B$4:$B$2662&lt;=EOMONTH(D$4,0))*(Diário!$F$4:$F$2662))</f>
        <v>62166.23</v>
      </c>
      <c r="E171" s="102">
        <f>SUMPRODUCT((Diário!$E$4:$E$2662='Analítico Cx.'!$B171)*(Diário!$B$4:$B$2662&gt;=E$4)*(Diário!$B$4:$B$2662&lt;=EOMONTH(E$4,0))*(Diário!$F$4:$F$2662))</f>
        <v>11857.04</v>
      </c>
      <c r="F171" s="102">
        <f>SUMPRODUCT((Diário!$E$4:$E$2662='Analítico Cx.'!$B171)*(Diário!$B$4:$B$2662&gt;=F$4)*(Diário!$B$4:$B$2662&lt;=EOMONTH(F$4,0))*(Diário!$F$4:$F$2662))</f>
        <v>7143.26</v>
      </c>
      <c r="G171" s="102">
        <f>SUMPRODUCT((Diário!$E$4:$E$2662='Analítico Cx.'!$B171)*(Diário!$B$4:$B$2662&gt;=G$4)*(Diário!$B$4:$B$2662&lt;=EOMONTH(G$4,0))*(Diário!$F$4:$F$2662))</f>
        <v>4711.41</v>
      </c>
      <c r="H171" s="102">
        <f>SUMPRODUCT((Diário!$E$4:$E$2662='Analítico Cx.'!$B171)*(Diário!$B$4:$B$2662&gt;=H$4)*(Diário!$B$4:$B$2662&lt;=EOMONTH(H$4,0))*(Diário!$F$4:$F$2662))</f>
        <v>8565.7100000000009</v>
      </c>
      <c r="I171" s="102">
        <f>SUMPRODUCT((Diário!$E$4:$E$2662='Analítico Cx.'!$B171)*(Diário!$B$4:$B$2662&gt;=I$4)*(Diário!$B$4:$B$2662&lt;=EOMONTH(I$4,0))*(Diário!$F$4:$F$2662))</f>
        <v>0</v>
      </c>
      <c r="J171" s="102">
        <f>SUMPRODUCT((Diário!$E$4:$E$2662='Analítico Cx.'!$B171)*(Diário!$B$4:$B$2662&gt;=J$4)*(Diário!$B$4:$B$2662&lt;=EOMONTH(J$4,0))*(Diário!$F$4:$F$2662))</f>
        <v>0</v>
      </c>
      <c r="K171" s="102">
        <f>SUMPRODUCT((Diário!$E$4:$E$2662='Analítico Cx.'!$B171)*(Diário!$B$4:$B$2662&gt;=K$4)*(Diário!$B$4:$B$2662&lt;=EOMONTH(K$4,0))*(Diário!$F$4:$F$2662))</f>
        <v>0</v>
      </c>
      <c r="L171" s="102">
        <f>SUMPRODUCT((Diário!$E$4:$E$2662='Analítico Cx.'!$B171)*(Diário!$B$4:$B$2662&gt;=L$4)*(Diário!$B$4:$B$2662&lt;=EOMONTH(L$4,0))*(Diário!$F$4:$F$2662))</f>
        <v>0</v>
      </c>
      <c r="M171" s="102">
        <f>SUMPRODUCT((Diário!$E$4:$E$2662='Analítico Cx.'!$B171)*(Diário!$B$4:$B$2662&gt;=M$4)*(Diário!$B$4:$B$2662&lt;=EOMONTH(M$4,0))*(Diário!$F$4:$F$2662))</f>
        <v>0</v>
      </c>
      <c r="N171" s="102">
        <f>SUMPRODUCT((Diário!$E$4:$E$2662='Analítico Cx.'!$B171)*(Diário!$B$4:$B$2662&gt;=N$4)*(Diário!$B$4:$B$2662&lt;=EOMONTH(N$4,0))*(Diário!$F$4:$F$2662))</f>
        <v>0</v>
      </c>
      <c r="O171" s="103">
        <f t="shared" si="19"/>
        <v>97298.510000000009</v>
      </c>
      <c r="P171" s="95">
        <f t="shared" si="20"/>
        <v>5.0241638355395688E-3</v>
      </c>
    </row>
    <row r="172" spans="1:16" ht="23.25" customHeight="1">
      <c r="A172" s="40" t="s">
        <v>560</v>
      </c>
      <c r="B172" s="60" t="s">
        <v>268</v>
      </c>
      <c r="C172" s="102">
        <f>SUMPRODUCT((Diário!$E$4:$E$2662='Analítico Cx.'!$B172)*(Diário!$B$4:$B$2662&gt;=C$4)*(Diário!$B$4:$B$2662&lt;=EOMONTH(C$4,0))*(Diário!$F$4:$F$2662))</f>
        <v>0</v>
      </c>
      <c r="D172" s="102">
        <f>SUMPRODUCT((Diário!$E$4:$E$2662='Analítico Cx.'!$B172)*(Diário!$B$4:$B$2662&gt;=D$4)*(Diário!$B$4:$B$2662&lt;=EOMONTH(D$4,0))*(Diário!$F$4:$F$2662))</f>
        <v>0</v>
      </c>
      <c r="E172" s="102">
        <f>SUMPRODUCT((Diário!$E$4:$E$2662='Analítico Cx.'!$B172)*(Diário!$B$4:$B$2662&gt;=E$4)*(Diário!$B$4:$B$2662&lt;=EOMONTH(E$4,0))*(Diário!$F$4:$F$2662))</f>
        <v>0</v>
      </c>
      <c r="F172" s="102">
        <f>SUMPRODUCT((Diário!$E$4:$E$2662='Analítico Cx.'!$B172)*(Diário!$B$4:$B$2662&gt;=F$4)*(Diário!$B$4:$B$2662&lt;=EOMONTH(F$4,0))*(Diário!$F$4:$F$2662))</f>
        <v>0</v>
      </c>
      <c r="G172" s="102">
        <f>SUMPRODUCT((Diário!$E$4:$E$2662='Analítico Cx.'!$B172)*(Diário!$B$4:$B$2662&gt;=G$4)*(Diário!$B$4:$B$2662&lt;=EOMONTH(G$4,0))*(Diário!$F$4:$F$2662))</f>
        <v>0</v>
      </c>
      <c r="H172" s="102">
        <f>SUMPRODUCT((Diário!$E$4:$E$2662='Analítico Cx.'!$B172)*(Diário!$B$4:$B$2662&gt;=H$4)*(Diário!$B$4:$B$2662&lt;=EOMONTH(H$4,0))*(Diário!$F$4:$F$2662))</f>
        <v>0</v>
      </c>
      <c r="I172" s="102">
        <f>SUMPRODUCT((Diário!$E$4:$E$2662='Analítico Cx.'!$B172)*(Diário!$B$4:$B$2662&gt;=I$4)*(Diário!$B$4:$B$2662&lt;=EOMONTH(I$4,0))*(Diário!$F$4:$F$2662))</f>
        <v>0</v>
      </c>
      <c r="J172" s="102">
        <f>SUMPRODUCT((Diário!$E$4:$E$2662='Analítico Cx.'!$B172)*(Diário!$B$4:$B$2662&gt;=J$4)*(Diário!$B$4:$B$2662&lt;=EOMONTH(J$4,0))*(Diário!$F$4:$F$2662))</f>
        <v>0</v>
      </c>
      <c r="K172" s="102">
        <f>SUMPRODUCT((Diário!$E$4:$E$2662='Analítico Cx.'!$B172)*(Diário!$B$4:$B$2662&gt;=K$4)*(Diário!$B$4:$B$2662&lt;=EOMONTH(K$4,0))*(Diário!$F$4:$F$2662))</f>
        <v>0</v>
      </c>
      <c r="L172" s="102">
        <f>SUMPRODUCT((Diário!$E$4:$E$2662='Analítico Cx.'!$B172)*(Diário!$B$4:$B$2662&gt;=L$4)*(Diário!$B$4:$B$2662&lt;=EOMONTH(L$4,0))*(Diário!$F$4:$F$2662))</f>
        <v>0</v>
      </c>
      <c r="M172" s="102">
        <f>SUMPRODUCT((Diário!$E$4:$E$2662='Analítico Cx.'!$B172)*(Diário!$B$4:$B$2662&gt;=M$4)*(Diário!$B$4:$B$2662&lt;=EOMONTH(M$4,0))*(Diário!$F$4:$F$2662))</f>
        <v>0</v>
      </c>
      <c r="N172" s="102">
        <f>SUMPRODUCT((Diário!$E$4:$E$2662='Analítico Cx.'!$B172)*(Diário!$B$4:$B$2662&gt;=N$4)*(Diário!$B$4:$B$2662&lt;=EOMONTH(N$4,0))*(Diário!$F$4:$F$2662))</f>
        <v>0</v>
      </c>
      <c r="O172" s="103">
        <f t="shared" si="19"/>
        <v>0</v>
      </c>
      <c r="P172" s="95">
        <f t="shared" si="20"/>
        <v>0</v>
      </c>
    </row>
    <row r="173" spans="1:16" ht="23.25" customHeight="1" thickBot="1">
      <c r="A173" s="231"/>
      <c r="B173" s="232" t="s">
        <v>355</v>
      </c>
      <c r="C173" s="208">
        <f t="shared" ref="C173:O173" si="21">SUBTOTAL(109,C59:C172)</f>
        <v>592001.07000000007</v>
      </c>
      <c r="D173" s="208">
        <f t="shared" si="21"/>
        <v>999794.35000000009</v>
      </c>
      <c r="E173" s="208">
        <f t="shared" si="21"/>
        <v>1083972.9000000004</v>
      </c>
      <c r="F173" s="208">
        <f t="shared" si="21"/>
        <v>1191323.42</v>
      </c>
      <c r="G173" s="208">
        <f t="shared" si="21"/>
        <v>1302680.69</v>
      </c>
      <c r="H173" s="208">
        <f t="shared" si="21"/>
        <v>1670420.1001000004</v>
      </c>
      <c r="I173" s="208">
        <f t="shared" si="21"/>
        <v>0</v>
      </c>
      <c r="J173" s="208">
        <f t="shared" si="21"/>
        <v>0</v>
      </c>
      <c r="K173" s="208">
        <f t="shared" si="21"/>
        <v>0</v>
      </c>
      <c r="L173" s="208">
        <f t="shared" si="21"/>
        <v>0</v>
      </c>
      <c r="M173" s="208">
        <f t="shared" si="21"/>
        <v>0</v>
      </c>
      <c r="N173" s="208">
        <f t="shared" si="21"/>
        <v>0</v>
      </c>
      <c r="O173" s="208">
        <f t="shared" si="21"/>
        <v>6840192.530100001</v>
      </c>
      <c r="P173" s="233">
        <f>IF($O$191=0,0,O173/$O$191)</f>
        <v>0.35320425706268599</v>
      </c>
    </row>
    <row r="174" spans="1:16" ht="23.25" customHeight="1" thickBot="1">
      <c r="A174" s="227" t="s">
        <v>40</v>
      </c>
      <c r="B174" s="212" t="s">
        <v>132</v>
      </c>
      <c r="C174" s="228"/>
      <c r="D174" s="228"/>
      <c r="E174" s="228"/>
      <c r="F174" s="228"/>
      <c r="G174" s="228"/>
      <c r="H174" s="228"/>
      <c r="I174" s="228"/>
      <c r="J174" s="228"/>
      <c r="K174" s="228"/>
      <c r="L174" s="228"/>
      <c r="M174" s="228"/>
      <c r="N174" s="228"/>
      <c r="O174" s="228"/>
      <c r="P174" s="194"/>
    </row>
    <row r="175" spans="1:16" ht="23.25" customHeight="1">
      <c r="A175" s="40" t="s">
        <v>29</v>
      </c>
      <c r="B175" s="38" t="s">
        <v>215</v>
      </c>
      <c r="C175" s="102">
        <f>SUMPRODUCT((Diário!$E$4:$E$2662='Analítico Cx.'!$B175)*(Diário!$B$4:$B$2662&gt;=C$4)*(Diário!$B$4:$B$2662&lt;=EOMONTH(C$4,0))*(Diário!$F$4:$F$2662))</f>
        <v>0</v>
      </c>
      <c r="D175" s="102">
        <f>SUMPRODUCT((Diário!$E$4:$E$2662='Analítico Cx.'!$B175)*(Diário!$B$4:$B$2662&gt;=D$4)*(Diário!$B$4:$B$2662&lt;=EOMONTH(D$4,0))*(Diário!$F$4:$F$2662))</f>
        <v>0</v>
      </c>
      <c r="E175" s="102">
        <f>SUMPRODUCT((Diário!$E$4:$E$2662='Analítico Cx.'!$B175)*(Diário!$B$4:$B$2662&gt;=E$4)*(Diário!$B$4:$B$2662&lt;=EOMONTH(E$4,0))*(Diário!$F$4:$F$2662))</f>
        <v>0</v>
      </c>
      <c r="F175" s="102">
        <f>SUMPRODUCT((Diário!$E$4:$E$2662='Analítico Cx.'!$B175)*(Diário!$B$4:$B$2662&gt;=F$4)*(Diário!$B$4:$B$2662&lt;=EOMONTH(F$4,0))*(Diário!$F$4:$F$2662))</f>
        <v>0</v>
      </c>
      <c r="G175" s="102">
        <f>SUMPRODUCT((Diário!$E$4:$E$2662='Analítico Cx.'!$B175)*(Diário!$B$4:$B$2662&gt;=G$4)*(Diário!$B$4:$B$2662&lt;=EOMONTH(G$4,0))*(Diário!$F$4:$F$2662))</f>
        <v>0</v>
      </c>
      <c r="H175" s="102">
        <f>SUMPRODUCT((Diário!$E$4:$E$2662='Analítico Cx.'!$B175)*(Diário!$B$4:$B$2662&gt;=H$4)*(Diário!$B$4:$B$2662&lt;=EOMONTH(H$4,0))*(Diário!$F$4:$F$2662))</f>
        <v>0</v>
      </c>
      <c r="I175" s="102">
        <f>SUMPRODUCT((Diário!$E$4:$E$2662='Analítico Cx.'!$B175)*(Diário!$B$4:$B$2662&gt;=I$4)*(Diário!$B$4:$B$2662&lt;=EOMONTH(I$4,0))*(Diário!$F$4:$F$2662))</f>
        <v>0</v>
      </c>
      <c r="J175" s="102">
        <f>SUMPRODUCT((Diário!$E$4:$E$2662='Analítico Cx.'!$B175)*(Diário!$B$4:$B$2662&gt;=J$4)*(Diário!$B$4:$B$2662&lt;=EOMONTH(J$4,0))*(Diário!$F$4:$F$2662))</f>
        <v>0</v>
      </c>
      <c r="K175" s="102">
        <f>SUMPRODUCT((Diário!$E$4:$E$2662='Analítico Cx.'!$B175)*(Diário!$B$4:$B$2662&gt;=K$4)*(Diário!$B$4:$B$2662&lt;=EOMONTH(K$4,0))*(Diário!$F$4:$F$2662))</f>
        <v>0</v>
      </c>
      <c r="L175" s="102">
        <f>SUMPRODUCT((Diário!$E$4:$E$2662='Analítico Cx.'!$B175)*(Diário!$B$4:$B$2662&gt;=L$4)*(Diário!$B$4:$B$2662&lt;=EOMONTH(L$4,0))*(Diário!$F$4:$F$2662))</f>
        <v>0</v>
      </c>
      <c r="M175" s="102">
        <f>SUMPRODUCT((Diário!$E$4:$E$2662='Analítico Cx.'!$B175)*(Diário!$B$4:$B$2662&gt;=M$4)*(Diário!$B$4:$B$2662&lt;=EOMONTH(M$4,0))*(Diário!$F$4:$F$2662))</f>
        <v>0</v>
      </c>
      <c r="N175" s="102">
        <f>SUMPRODUCT((Diário!$E$4:$E$2662='Analítico Cx.'!$B175)*(Diário!$B$4:$B$2662&gt;=N$4)*(Diário!$B$4:$B$2662&lt;=EOMONTH(N$4,0))*(Diário!$F$4:$F$2662))</f>
        <v>0</v>
      </c>
      <c r="O175" s="103">
        <f>SUM(C175:N175)</f>
        <v>0</v>
      </c>
      <c r="P175" s="95">
        <f t="shared" ref="P175:P191" si="22">IF($O$191=0,0,O175/$O$191)</f>
        <v>0</v>
      </c>
    </row>
    <row r="176" spans="1:16" ht="23.25" customHeight="1">
      <c r="A176" s="40" t="s">
        <v>23</v>
      </c>
      <c r="B176" s="38" t="s">
        <v>209</v>
      </c>
      <c r="C176" s="102">
        <f>SUMPRODUCT((Diário!$E$4:$E$2662='Analítico Cx.'!$B176)*(Diário!$B$4:$B$2662&gt;=C$4)*(Diário!$B$4:$B$2662&lt;=EOMONTH(C$4,0))*(Diário!$F$4:$F$2662))</f>
        <v>0</v>
      </c>
      <c r="D176" s="102">
        <f>SUMPRODUCT((Diário!$E$4:$E$2662='Analítico Cx.'!$B176)*(Diário!$B$4:$B$2662&gt;=D$4)*(Diário!$B$4:$B$2662&lt;=EOMONTH(D$4,0))*(Diário!$F$4:$F$2662))</f>
        <v>0</v>
      </c>
      <c r="E176" s="102">
        <f>SUMPRODUCT((Diário!$E$4:$E$2662='Analítico Cx.'!$B176)*(Diário!$B$4:$B$2662&gt;=E$4)*(Diário!$B$4:$B$2662&lt;=EOMONTH(E$4,0))*(Diário!$F$4:$F$2662))</f>
        <v>0</v>
      </c>
      <c r="F176" s="102">
        <f>SUMPRODUCT((Diário!$E$4:$E$2662='Analítico Cx.'!$B176)*(Diário!$B$4:$B$2662&gt;=F$4)*(Diário!$B$4:$B$2662&lt;=EOMONTH(F$4,0))*(Diário!$F$4:$F$2662))</f>
        <v>745.44</v>
      </c>
      <c r="G176" s="102">
        <f>SUMPRODUCT((Diário!$E$4:$E$2662='Analítico Cx.'!$B176)*(Diário!$B$4:$B$2662&gt;=G$4)*(Diário!$B$4:$B$2662&lt;=EOMONTH(G$4,0))*(Diário!$F$4:$F$2662))</f>
        <v>661</v>
      </c>
      <c r="H176" s="102">
        <f>SUMPRODUCT((Diário!$E$4:$E$2662='Analítico Cx.'!$B176)*(Diário!$B$4:$B$2662&gt;=H$4)*(Diário!$B$4:$B$2662&lt;=EOMONTH(H$4,0))*(Diário!$F$4:$F$2662))</f>
        <v>1169</v>
      </c>
      <c r="I176" s="102">
        <f>SUMPRODUCT((Diário!$E$4:$E$2662='Analítico Cx.'!$B176)*(Diário!$B$4:$B$2662&gt;=I$4)*(Diário!$B$4:$B$2662&lt;=EOMONTH(I$4,0))*(Diário!$F$4:$F$2662))</f>
        <v>0</v>
      </c>
      <c r="J176" s="102">
        <f>SUMPRODUCT((Diário!$E$4:$E$2662='Analítico Cx.'!$B176)*(Diário!$B$4:$B$2662&gt;=J$4)*(Diário!$B$4:$B$2662&lt;=EOMONTH(J$4,0))*(Diário!$F$4:$F$2662))</f>
        <v>0</v>
      </c>
      <c r="K176" s="102">
        <f>SUMPRODUCT((Diário!$E$4:$E$2662='Analítico Cx.'!$B176)*(Diário!$B$4:$B$2662&gt;=K$4)*(Diário!$B$4:$B$2662&lt;=EOMONTH(K$4,0))*(Diário!$F$4:$F$2662))</f>
        <v>0</v>
      </c>
      <c r="L176" s="102">
        <f>SUMPRODUCT((Diário!$E$4:$E$2662='Analítico Cx.'!$B176)*(Diário!$B$4:$B$2662&gt;=L$4)*(Diário!$B$4:$B$2662&lt;=EOMONTH(L$4,0))*(Diário!$F$4:$F$2662))</f>
        <v>0</v>
      </c>
      <c r="M176" s="102">
        <f>SUMPRODUCT((Diário!$E$4:$E$2662='Analítico Cx.'!$B176)*(Diário!$B$4:$B$2662&gt;=M$4)*(Diário!$B$4:$B$2662&lt;=EOMONTH(M$4,0))*(Diário!$F$4:$F$2662))</f>
        <v>0</v>
      </c>
      <c r="N176" s="102">
        <f>SUMPRODUCT((Diário!$E$4:$E$2662='Analítico Cx.'!$B176)*(Diário!$B$4:$B$2662&gt;=N$4)*(Diário!$B$4:$B$2662&lt;=EOMONTH(N$4,0))*(Diário!$F$4:$F$2662))</f>
        <v>0</v>
      </c>
      <c r="O176" s="103">
        <f t="shared" ref="O176:O188" si="23">SUM(C176:N176)</f>
        <v>2575.44</v>
      </c>
      <c r="P176" s="95">
        <f t="shared" si="22"/>
        <v>1.3298695435934245E-4</v>
      </c>
    </row>
    <row r="177" spans="1:16" ht="23.25" customHeight="1">
      <c r="A177" s="40" t="s">
        <v>24</v>
      </c>
      <c r="B177" s="38" t="s">
        <v>210</v>
      </c>
      <c r="C177" s="102">
        <f>SUMPRODUCT((Diário!$E$4:$E$2662='Analítico Cx.'!$B177)*(Diário!$B$4:$B$2662&gt;=C$4)*(Diário!$B$4:$B$2662&lt;=EOMONTH(C$4,0))*(Diário!$F$4:$F$2662))</f>
        <v>0</v>
      </c>
      <c r="D177" s="102">
        <f>SUMPRODUCT((Diário!$E$4:$E$2662='Analítico Cx.'!$B177)*(Diário!$B$4:$B$2662&gt;=D$4)*(Diário!$B$4:$B$2662&lt;=EOMONTH(D$4,0))*(Diário!$F$4:$F$2662))</f>
        <v>0</v>
      </c>
      <c r="E177" s="102">
        <f>SUMPRODUCT((Diário!$E$4:$E$2662='Analítico Cx.'!$B177)*(Diário!$B$4:$B$2662&gt;=E$4)*(Diário!$B$4:$B$2662&lt;=EOMONTH(E$4,0))*(Diário!$F$4:$F$2662))</f>
        <v>0</v>
      </c>
      <c r="F177" s="102">
        <f>SUMPRODUCT((Diário!$E$4:$E$2662='Analítico Cx.'!$B177)*(Diário!$B$4:$B$2662&gt;=F$4)*(Diário!$B$4:$B$2662&lt;=EOMONTH(F$4,0))*(Diário!$F$4:$F$2662))</f>
        <v>0</v>
      </c>
      <c r="G177" s="102">
        <f>SUMPRODUCT((Diário!$E$4:$E$2662='Analítico Cx.'!$B177)*(Diário!$B$4:$B$2662&gt;=G$4)*(Diário!$B$4:$B$2662&lt;=EOMONTH(G$4,0))*(Diário!$F$4:$F$2662))</f>
        <v>0</v>
      </c>
      <c r="H177" s="102">
        <f>SUMPRODUCT((Diário!$E$4:$E$2662='Analítico Cx.'!$B177)*(Diário!$B$4:$B$2662&gt;=H$4)*(Diário!$B$4:$B$2662&lt;=EOMONTH(H$4,0))*(Diário!$F$4:$F$2662))</f>
        <v>6909</v>
      </c>
      <c r="I177" s="102">
        <f>SUMPRODUCT((Diário!$E$4:$E$2662='Analítico Cx.'!$B177)*(Diário!$B$4:$B$2662&gt;=I$4)*(Diário!$B$4:$B$2662&lt;=EOMONTH(I$4,0))*(Diário!$F$4:$F$2662))</f>
        <v>0</v>
      </c>
      <c r="J177" s="102">
        <f>SUMPRODUCT((Diário!$E$4:$E$2662='Analítico Cx.'!$B177)*(Diário!$B$4:$B$2662&gt;=J$4)*(Diário!$B$4:$B$2662&lt;=EOMONTH(J$4,0))*(Diário!$F$4:$F$2662))</f>
        <v>0</v>
      </c>
      <c r="K177" s="102">
        <f>SUMPRODUCT((Diário!$E$4:$E$2662='Analítico Cx.'!$B177)*(Diário!$B$4:$B$2662&gt;=K$4)*(Diário!$B$4:$B$2662&lt;=EOMONTH(K$4,0))*(Diário!$F$4:$F$2662))</f>
        <v>0</v>
      </c>
      <c r="L177" s="102">
        <f>SUMPRODUCT((Diário!$E$4:$E$2662='Analítico Cx.'!$B177)*(Diário!$B$4:$B$2662&gt;=L$4)*(Diário!$B$4:$B$2662&lt;=EOMONTH(L$4,0))*(Diário!$F$4:$F$2662))</f>
        <v>0</v>
      </c>
      <c r="M177" s="102">
        <f>SUMPRODUCT((Diário!$E$4:$E$2662='Analítico Cx.'!$B177)*(Diário!$B$4:$B$2662&gt;=M$4)*(Diário!$B$4:$B$2662&lt;=EOMONTH(M$4,0))*(Diário!$F$4:$F$2662))</f>
        <v>0</v>
      </c>
      <c r="N177" s="102">
        <f>SUMPRODUCT((Diário!$E$4:$E$2662='Analítico Cx.'!$B177)*(Diário!$B$4:$B$2662&gt;=N$4)*(Diário!$B$4:$B$2662&lt;=EOMONTH(N$4,0))*(Diário!$F$4:$F$2662))</f>
        <v>0</v>
      </c>
      <c r="O177" s="103">
        <f t="shared" si="23"/>
        <v>6909</v>
      </c>
      <c r="P177" s="95">
        <f t="shared" si="22"/>
        <v>3.5675724057586161E-4</v>
      </c>
    </row>
    <row r="178" spans="1:16" ht="23.25" customHeight="1">
      <c r="A178" s="40" t="s">
        <v>25</v>
      </c>
      <c r="B178" s="38" t="s">
        <v>212</v>
      </c>
      <c r="C178" s="102">
        <f>SUMPRODUCT((Diário!$E$4:$E$2662='Analítico Cx.'!$B178)*(Diário!$B$4:$B$2662&gt;=C$4)*(Diário!$B$4:$B$2662&lt;=EOMONTH(C$4,0))*(Diário!$F$4:$F$2662))</f>
        <v>0</v>
      </c>
      <c r="D178" s="102">
        <f>SUMPRODUCT((Diário!$E$4:$E$2662='Analítico Cx.'!$B178)*(Diário!$B$4:$B$2662&gt;=D$4)*(Diário!$B$4:$B$2662&lt;=EOMONTH(D$4,0))*(Diário!$F$4:$F$2662))</f>
        <v>0</v>
      </c>
      <c r="E178" s="102">
        <f>SUMPRODUCT((Diário!$E$4:$E$2662='Analítico Cx.'!$B178)*(Diário!$B$4:$B$2662&gt;=E$4)*(Diário!$B$4:$B$2662&lt;=EOMONTH(E$4,0))*(Diário!$F$4:$F$2662))</f>
        <v>0</v>
      </c>
      <c r="F178" s="102">
        <f>SUMPRODUCT((Diário!$E$4:$E$2662='Analítico Cx.'!$B178)*(Diário!$B$4:$B$2662&gt;=F$4)*(Diário!$B$4:$B$2662&lt;=EOMONTH(F$4,0))*(Diário!$F$4:$F$2662))</f>
        <v>0</v>
      </c>
      <c r="G178" s="102">
        <f>SUMPRODUCT((Diário!$E$4:$E$2662='Analítico Cx.'!$B178)*(Diário!$B$4:$B$2662&gt;=G$4)*(Diário!$B$4:$B$2662&lt;=EOMONTH(G$4,0))*(Diário!$F$4:$F$2662))</f>
        <v>4434.91</v>
      </c>
      <c r="H178" s="102">
        <f>SUMPRODUCT((Diário!$E$4:$E$2662='Analítico Cx.'!$B178)*(Diário!$B$4:$B$2662&gt;=H$4)*(Diário!$B$4:$B$2662&lt;=EOMONTH(H$4,0))*(Diário!$F$4:$F$2662))</f>
        <v>0</v>
      </c>
      <c r="I178" s="102">
        <f>SUMPRODUCT((Diário!$E$4:$E$2662='Analítico Cx.'!$B178)*(Diário!$B$4:$B$2662&gt;=I$4)*(Diário!$B$4:$B$2662&lt;=EOMONTH(I$4,0))*(Diário!$F$4:$F$2662))</f>
        <v>0</v>
      </c>
      <c r="J178" s="102">
        <f>SUMPRODUCT((Diário!$E$4:$E$2662='Analítico Cx.'!$B178)*(Diário!$B$4:$B$2662&gt;=J$4)*(Diário!$B$4:$B$2662&lt;=EOMONTH(J$4,0))*(Diário!$F$4:$F$2662))</f>
        <v>0</v>
      </c>
      <c r="K178" s="102">
        <f>SUMPRODUCT((Diário!$E$4:$E$2662='Analítico Cx.'!$B178)*(Diário!$B$4:$B$2662&gt;=K$4)*(Diário!$B$4:$B$2662&lt;=EOMONTH(K$4,0))*(Diário!$F$4:$F$2662))</f>
        <v>0</v>
      </c>
      <c r="L178" s="102">
        <f>SUMPRODUCT((Diário!$E$4:$E$2662='Analítico Cx.'!$B178)*(Diário!$B$4:$B$2662&gt;=L$4)*(Diário!$B$4:$B$2662&lt;=EOMONTH(L$4,0))*(Diário!$F$4:$F$2662))</f>
        <v>0</v>
      </c>
      <c r="M178" s="102">
        <f>SUMPRODUCT((Diário!$E$4:$E$2662='Analítico Cx.'!$B178)*(Diário!$B$4:$B$2662&gt;=M$4)*(Diário!$B$4:$B$2662&lt;=EOMONTH(M$4,0))*(Diário!$F$4:$F$2662))</f>
        <v>0</v>
      </c>
      <c r="N178" s="102">
        <f>SUMPRODUCT((Diário!$E$4:$E$2662='Analítico Cx.'!$B178)*(Diário!$B$4:$B$2662&gt;=N$4)*(Diário!$B$4:$B$2662&lt;=EOMONTH(N$4,0))*(Diário!$F$4:$F$2662))</f>
        <v>0</v>
      </c>
      <c r="O178" s="103">
        <f t="shared" si="23"/>
        <v>4434.91</v>
      </c>
      <c r="P178" s="95">
        <f t="shared" si="22"/>
        <v>2.2900365520369003E-4</v>
      </c>
    </row>
    <row r="179" spans="1:16" ht="23.25" customHeight="1">
      <c r="A179" s="40" t="s">
        <v>26</v>
      </c>
      <c r="B179" s="38" t="s">
        <v>214</v>
      </c>
      <c r="C179" s="102">
        <f>SUMPRODUCT((Diário!$E$4:$E$2662='Analítico Cx.'!$B179)*(Diário!$B$4:$B$2662&gt;=C$4)*(Diário!$B$4:$B$2662&lt;=EOMONTH(C$4,0))*(Diário!$F$4:$F$2662))</f>
        <v>0</v>
      </c>
      <c r="D179" s="102">
        <f>SUMPRODUCT((Diário!$E$4:$E$2662='Analítico Cx.'!$B179)*(Diário!$B$4:$B$2662&gt;=D$4)*(Diário!$B$4:$B$2662&lt;=EOMONTH(D$4,0))*(Diário!$F$4:$F$2662))</f>
        <v>0</v>
      </c>
      <c r="E179" s="102">
        <f>SUMPRODUCT((Diário!$E$4:$E$2662='Analítico Cx.'!$B179)*(Diário!$B$4:$B$2662&gt;=E$4)*(Diário!$B$4:$B$2662&lt;=EOMONTH(E$4,0))*(Diário!$F$4:$F$2662))</f>
        <v>0</v>
      </c>
      <c r="F179" s="102">
        <f>SUMPRODUCT((Diário!$E$4:$E$2662='Analítico Cx.'!$B179)*(Diário!$B$4:$B$2662&gt;=F$4)*(Diário!$B$4:$B$2662&lt;=EOMONTH(F$4,0))*(Diário!$F$4:$F$2662))</f>
        <v>0</v>
      </c>
      <c r="G179" s="102">
        <f>SUMPRODUCT((Diário!$E$4:$E$2662='Analítico Cx.'!$B179)*(Diário!$B$4:$B$2662&gt;=G$4)*(Diário!$B$4:$B$2662&lt;=EOMONTH(G$4,0))*(Diário!$F$4:$F$2662))</f>
        <v>0</v>
      </c>
      <c r="H179" s="102">
        <f>SUMPRODUCT((Diário!$E$4:$E$2662='Analítico Cx.'!$B179)*(Diário!$B$4:$B$2662&gt;=H$4)*(Diário!$B$4:$B$2662&lt;=EOMONTH(H$4,0))*(Diário!$F$4:$F$2662))</f>
        <v>649</v>
      </c>
      <c r="I179" s="102">
        <f>SUMPRODUCT((Diário!$E$4:$E$2662='Analítico Cx.'!$B179)*(Diário!$B$4:$B$2662&gt;=I$4)*(Diário!$B$4:$B$2662&lt;=EOMONTH(I$4,0))*(Diário!$F$4:$F$2662))</f>
        <v>0</v>
      </c>
      <c r="J179" s="102">
        <f>SUMPRODUCT((Diário!$E$4:$E$2662='Analítico Cx.'!$B179)*(Diário!$B$4:$B$2662&gt;=J$4)*(Diário!$B$4:$B$2662&lt;=EOMONTH(J$4,0))*(Diário!$F$4:$F$2662))</f>
        <v>0</v>
      </c>
      <c r="K179" s="102">
        <f>SUMPRODUCT((Diário!$E$4:$E$2662='Analítico Cx.'!$B179)*(Diário!$B$4:$B$2662&gt;=K$4)*(Diário!$B$4:$B$2662&lt;=EOMONTH(K$4,0))*(Diário!$F$4:$F$2662))</f>
        <v>0</v>
      </c>
      <c r="L179" s="102">
        <f>SUMPRODUCT((Diário!$E$4:$E$2662='Analítico Cx.'!$B179)*(Diário!$B$4:$B$2662&gt;=L$4)*(Diário!$B$4:$B$2662&lt;=EOMONTH(L$4,0))*(Diário!$F$4:$F$2662))</f>
        <v>0</v>
      </c>
      <c r="M179" s="102">
        <f>SUMPRODUCT((Diário!$E$4:$E$2662='Analítico Cx.'!$B179)*(Diário!$B$4:$B$2662&gt;=M$4)*(Diário!$B$4:$B$2662&lt;=EOMONTH(M$4,0))*(Diário!$F$4:$F$2662))</f>
        <v>0</v>
      </c>
      <c r="N179" s="102">
        <f>SUMPRODUCT((Diário!$E$4:$E$2662='Analítico Cx.'!$B179)*(Diário!$B$4:$B$2662&gt;=N$4)*(Diário!$B$4:$B$2662&lt;=EOMONTH(N$4,0))*(Diário!$F$4:$F$2662))</f>
        <v>0</v>
      </c>
      <c r="O179" s="103">
        <f t="shared" si="23"/>
        <v>649</v>
      </c>
      <c r="P179" s="95">
        <f t="shared" si="22"/>
        <v>3.3512150692391691E-5</v>
      </c>
    </row>
    <row r="180" spans="1:16" ht="23.25" customHeight="1">
      <c r="A180" s="40" t="s">
        <v>27</v>
      </c>
      <c r="B180" s="38" t="s">
        <v>217</v>
      </c>
      <c r="C180" s="102">
        <f>SUMPRODUCT((Diário!$E$4:$E$2662='Analítico Cx.'!$B180)*(Diário!$B$4:$B$2662&gt;=C$4)*(Diário!$B$4:$B$2662&lt;=EOMONTH(C$4,0))*(Diário!$F$4:$F$2662))</f>
        <v>0</v>
      </c>
      <c r="D180" s="102">
        <f>SUMPRODUCT((Diário!$E$4:$E$2662='Analítico Cx.'!$B180)*(Diário!$B$4:$B$2662&gt;=D$4)*(Diário!$B$4:$B$2662&lt;=EOMONTH(D$4,0))*(Diário!$F$4:$F$2662))</f>
        <v>0</v>
      </c>
      <c r="E180" s="102">
        <f>SUMPRODUCT((Diário!$E$4:$E$2662='Analítico Cx.'!$B180)*(Diário!$B$4:$B$2662&gt;=E$4)*(Diário!$B$4:$B$2662&lt;=EOMONTH(E$4,0))*(Diário!$F$4:$F$2662))</f>
        <v>0</v>
      </c>
      <c r="F180" s="102">
        <f>SUMPRODUCT((Diário!$E$4:$E$2662='Analítico Cx.'!$B180)*(Diário!$B$4:$B$2662&gt;=F$4)*(Diário!$B$4:$B$2662&lt;=EOMONTH(F$4,0))*(Diário!$F$4:$F$2662))</f>
        <v>0</v>
      </c>
      <c r="G180" s="102">
        <f>SUMPRODUCT((Diário!$E$4:$E$2662='Analítico Cx.'!$B180)*(Diário!$B$4:$B$2662&gt;=G$4)*(Diário!$B$4:$B$2662&lt;=EOMONTH(G$4,0))*(Diário!$F$4:$F$2662))</f>
        <v>0</v>
      </c>
      <c r="H180" s="102">
        <f>SUMPRODUCT((Diário!$E$4:$E$2662='Analítico Cx.'!$B180)*(Diário!$B$4:$B$2662&gt;=H$4)*(Diário!$B$4:$B$2662&lt;=EOMONTH(H$4,0))*(Diário!$F$4:$F$2662))</f>
        <v>0</v>
      </c>
      <c r="I180" s="102">
        <f>SUMPRODUCT((Diário!$E$4:$E$2662='Analítico Cx.'!$B180)*(Diário!$B$4:$B$2662&gt;=I$4)*(Diário!$B$4:$B$2662&lt;=EOMONTH(I$4,0))*(Diário!$F$4:$F$2662))</f>
        <v>0</v>
      </c>
      <c r="J180" s="102">
        <f>SUMPRODUCT((Diário!$E$4:$E$2662='Analítico Cx.'!$B180)*(Diário!$B$4:$B$2662&gt;=J$4)*(Diário!$B$4:$B$2662&lt;=EOMONTH(J$4,0))*(Diário!$F$4:$F$2662))</f>
        <v>0</v>
      </c>
      <c r="K180" s="102">
        <f>SUMPRODUCT((Diário!$E$4:$E$2662='Analítico Cx.'!$B180)*(Diário!$B$4:$B$2662&gt;=K$4)*(Diário!$B$4:$B$2662&lt;=EOMONTH(K$4,0))*(Diário!$F$4:$F$2662))</f>
        <v>0</v>
      </c>
      <c r="L180" s="102">
        <f>SUMPRODUCT((Diário!$E$4:$E$2662='Analítico Cx.'!$B180)*(Diário!$B$4:$B$2662&gt;=L$4)*(Diário!$B$4:$B$2662&lt;=EOMONTH(L$4,0))*(Diário!$F$4:$F$2662))</f>
        <v>0</v>
      </c>
      <c r="M180" s="102">
        <f>SUMPRODUCT((Diário!$E$4:$E$2662='Analítico Cx.'!$B180)*(Diário!$B$4:$B$2662&gt;=M$4)*(Diário!$B$4:$B$2662&lt;=EOMONTH(M$4,0))*(Diário!$F$4:$F$2662))</f>
        <v>0</v>
      </c>
      <c r="N180" s="102">
        <f>SUMPRODUCT((Diário!$E$4:$E$2662='Analítico Cx.'!$B180)*(Diário!$B$4:$B$2662&gt;=N$4)*(Diário!$B$4:$B$2662&lt;=EOMONTH(N$4,0))*(Diário!$F$4:$F$2662))</f>
        <v>0</v>
      </c>
      <c r="O180" s="103">
        <f t="shared" si="23"/>
        <v>0</v>
      </c>
      <c r="P180" s="95">
        <f t="shared" si="22"/>
        <v>0</v>
      </c>
    </row>
    <row r="181" spans="1:16" ht="23.25" customHeight="1">
      <c r="A181" s="40" t="s">
        <v>28</v>
      </c>
      <c r="B181" s="38" t="s">
        <v>218</v>
      </c>
      <c r="C181" s="102">
        <f>SUMPRODUCT((Diário!$E$4:$E$2662='Analítico Cx.'!$B181)*(Diário!$B$4:$B$2662&gt;=C$4)*(Diário!$B$4:$B$2662&lt;=EOMONTH(C$4,0))*(Diário!$F$4:$F$2662))</f>
        <v>53075.14</v>
      </c>
      <c r="D181" s="102">
        <f>SUMPRODUCT((Diário!$E$4:$E$2662='Analítico Cx.'!$B181)*(Diário!$B$4:$B$2662&gt;=D$4)*(Diário!$B$4:$B$2662&lt;=EOMONTH(D$4,0))*(Diário!$F$4:$F$2662))</f>
        <v>2188</v>
      </c>
      <c r="E181" s="102">
        <f>SUMPRODUCT((Diário!$E$4:$E$2662='Analítico Cx.'!$B181)*(Diário!$B$4:$B$2662&gt;=E$4)*(Diário!$B$4:$B$2662&lt;=EOMONTH(E$4,0))*(Diário!$F$4:$F$2662))</f>
        <v>0</v>
      </c>
      <c r="F181" s="102">
        <f>SUMPRODUCT((Diário!$E$4:$E$2662='Analítico Cx.'!$B181)*(Diário!$B$4:$B$2662&gt;=F$4)*(Diário!$B$4:$B$2662&lt;=EOMONTH(F$4,0))*(Diário!$F$4:$F$2662))</f>
        <v>0</v>
      </c>
      <c r="G181" s="102">
        <f>SUMPRODUCT((Diário!$E$4:$E$2662='Analítico Cx.'!$B181)*(Diário!$B$4:$B$2662&gt;=G$4)*(Diário!$B$4:$B$2662&lt;=EOMONTH(G$4,0))*(Diário!$F$4:$F$2662))</f>
        <v>18990.599999999999</v>
      </c>
      <c r="H181" s="102">
        <f>SUMPRODUCT((Diário!$E$4:$E$2662='Analítico Cx.'!$B181)*(Diário!$B$4:$B$2662&gt;=H$4)*(Diário!$B$4:$B$2662&lt;=EOMONTH(H$4,0))*(Diário!$F$4:$F$2662))</f>
        <v>11462</v>
      </c>
      <c r="I181" s="102">
        <f>SUMPRODUCT((Diário!$E$4:$E$2662='Analítico Cx.'!$B181)*(Diário!$B$4:$B$2662&gt;=I$4)*(Diário!$B$4:$B$2662&lt;=EOMONTH(I$4,0))*(Diário!$F$4:$F$2662))</f>
        <v>0</v>
      </c>
      <c r="J181" s="102">
        <f>SUMPRODUCT((Diário!$E$4:$E$2662='Analítico Cx.'!$B181)*(Diário!$B$4:$B$2662&gt;=J$4)*(Diário!$B$4:$B$2662&lt;=EOMONTH(J$4,0))*(Diário!$F$4:$F$2662))</f>
        <v>0</v>
      </c>
      <c r="K181" s="102">
        <f>SUMPRODUCT((Diário!$E$4:$E$2662='Analítico Cx.'!$B181)*(Diário!$B$4:$B$2662&gt;=K$4)*(Diário!$B$4:$B$2662&lt;=EOMONTH(K$4,0))*(Diário!$F$4:$F$2662))</f>
        <v>0</v>
      </c>
      <c r="L181" s="102">
        <f>SUMPRODUCT((Diário!$E$4:$E$2662='Analítico Cx.'!$B181)*(Diário!$B$4:$B$2662&gt;=L$4)*(Diário!$B$4:$B$2662&lt;=EOMONTH(L$4,0))*(Diário!$F$4:$F$2662))</f>
        <v>0</v>
      </c>
      <c r="M181" s="102">
        <f>SUMPRODUCT((Diário!$E$4:$E$2662='Analítico Cx.'!$B181)*(Diário!$B$4:$B$2662&gt;=M$4)*(Diário!$B$4:$B$2662&lt;=EOMONTH(M$4,0))*(Diário!$F$4:$F$2662))</f>
        <v>0</v>
      </c>
      <c r="N181" s="102">
        <f>SUMPRODUCT((Diário!$E$4:$E$2662='Analítico Cx.'!$B181)*(Diário!$B$4:$B$2662&gt;=N$4)*(Diário!$B$4:$B$2662&lt;=EOMONTH(N$4,0))*(Diário!$F$4:$F$2662))</f>
        <v>0</v>
      </c>
      <c r="O181" s="103">
        <f t="shared" si="23"/>
        <v>85715.739999999991</v>
      </c>
      <c r="P181" s="95">
        <f t="shared" si="22"/>
        <v>4.4260690224805325E-3</v>
      </c>
    </row>
    <row r="182" spans="1:16" ht="23.25" customHeight="1">
      <c r="A182" s="40" t="s">
        <v>124</v>
      </c>
      <c r="B182" s="38" t="s">
        <v>64</v>
      </c>
      <c r="C182" s="102">
        <f>SUMPRODUCT((Diário!$E$4:$E$2662='Analítico Cx.'!$B182)*(Diário!$B$4:$B$2662&gt;=C$4)*(Diário!$B$4:$B$2662&lt;=EOMONTH(C$4,0))*(Diário!$F$4:$F$2662))</f>
        <v>0</v>
      </c>
      <c r="D182" s="102">
        <f>SUMPRODUCT((Diário!$E$4:$E$2662='Analítico Cx.'!$B182)*(Diário!$B$4:$B$2662&gt;=D$4)*(Diário!$B$4:$B$2662&lt;=EOMONTH(D$4,0))*(Diário!$F$4:$F$2662))</f>
        <v>0</v>
      </c>
      <c r="E182" s="102">
        <f>SUMPRODUCT((Diário!$E$4:$E$2662='Analítico Cx.'!$B182)*(Diário!$B$4:$B$2662&gt;=E$4)*(Diário!$B$4:$B$2662&lt;=EOMONTH(E$4,0))*(Diário!$F$4:$F$2662))</f>
        <v>0</v>
      </c>
      <c r="F182" s="102">
        <f>SUMPRODUCT((Diário!$E$4:$E$2662='Analítico Cx.'!$B182)*(Diário!$B$4:$B$2662&gt;=F$4)*(Diário!$B$4:$B$2662&lt;=EOMONTH(F$4,0))*(Diário!$F$4:$F$2662))</f>
        <v>0</v>
      </c>
      <c r="G182" s="102">
        <f>SUMPRODUCT((Diário!$E$4:$E$2662='Analítico Cx.'!$B182)*(Diário!$B$4:$B$2662&gt;=G$4)*(Diário!$B$4:$B$2662&lt;=EOMONTH(G$4,0))*(Diário!$F$4:$F$2662))</f>
        <v>0</v>
      </c>
      <c r="H182" s="102">
        <f>SUMPRODUCT((Diário!$E$4:$E$2662='Analítico Cx.'!$B182)*(Diário!$B$4:$B$2662&gt;=H$4)*(Diário!$B$4:$B$2662&lt;=EOMONTH(H$4,0))*(Diário!$F$4:$F$2662))</f>
        <v>0</v>
      </c>
      <c r="I182" s="102">
        <f>SUMPRODUCT((Diário!$E$4:$E$2662='Analítico Cx.'!$B182)*(Diário!$B$4:$B$2662&gt;=I$4)*(Diário!$B$4:$B$2662&lt;=EOMONTH(I$4,0))*(Diário!$F$4:$F$2662))</f>
        <v>0</v>
      </c>
      <c r="J182" s="102">
        <f>SUMPRODUCT((Diário!$E$4:$E$2662='Analítico Cx.'!$B182)*(Diário!$B$4:$B$2662&gt;=J$4)*(Diário!$B$4:$B$2662&lt;=EOMONTH(J$4,0))*(Diário!$F$4:$F$2662))</f>
        <v>0</v>
      </c>
      <c r="K182" s="102">
        <f>SUMPRODUCT((Diário!$E$4:$E$2662='Analítico Cx.'!$B182)*(Diário!$B$4:$B$2662&gt;=K$4)*(Diário!$B$4:$B$2662&lt;=EOMONTH(K$4,0))*(Diário!$F$4:$F$2662))</f>
        <v>0</v>
      </c>
      <c r="L182" s="102">
        <f>SUMPRODUCT((Diário!$E$4:$E$2662='Analítico Cx.'!$B182)*(Diário!$B$4:$B$2662&gt;=L$4)*(Diário!$B$4:$B$2662&lt;=EOMONTH(L$4,0))*(Diário!$F$4:$F$2662))</f>
        <v>0</v>
      </c>
      <c r="M182" s="102">
        <f>SUMPRODUCT((Diário!$E$4:$E$2662='Analítico Cx.'!$B182)*(Diário!$B$4:$B$2662&gt;=M$4)*(Diário!$B$4:$B$2662&lt;=EOMONTH(M$4,0))*(Diário!$F$4:$F$2662))</f>
        <v>0</v>
      </c>
      <c r="N182" s="102">
        <f>SUMPRODUCT((Diário!$E$4:$E$2662='Analítico Cx.'!$B182)*(Diário!$B$4:$B$2662&gt;=N$4)*(Diário!$B$4:$B$2662&lt;=EOMONTH(N$4,0))*(Diário!$F$4:$F$2662))</f>
        <v>0</v>
      </c>
      <c r="O182" s="103">
        <f t="shared" si="23"/>
        <v>0</v>
      </c>
      <c r="P182" s="95">
        <f t="shared" si="22"/>
        <v>0</v>
      </c>
    </row>
    <row r="183" spans="1:16" ht="23.25" customHeight="1">
      <c r="A183" s="40" t="s">
        <v>125</v>
      </c>
      <c r="B183" s="38" t="s">
        <v>208</v>
      </c>
      <c r="C183" s="102">
        <f>SUMPRODUCT((Diário!$E$4:$E$2662='Analítico Cx.'!$B183)*(Diário!$B$4:$B$2662&gt;=C$4)*(Diário!$B$4:$B$2662&lt;=EOMONTH(C$4,0))*(Diário!$F$4:$F$2662))</f>
        <v>0</v>
      </c>
      <c r="D183" s="102">
        <f>SUMPRODUCT((Diário!$E$4:$E$2662='Analítico Cx.'!$B183)*(Diário!$B$4:$B$2662&gt;=D$4)*(Diário!$B$4:$B$2662&lt;=EOMONTH(D$4,0))*(Diário!$F$4:$F$2662))</f>
        <v>0</v>
      </c>
      <c r="E183" s="102">
        <f>SUMPRODUCT((Diário!$E$4:$E$2662='Analítico Cx.'!$B183)*(Diário!$B$4:$B$2662&gt;=E$4)*(Diário!$B$4:$B$2662&lt;=EOMONTH(E$4,0))*(Diário!$F$4:$F$2662))</f>
        <v>0</v>
      </c>
      <c r="F183" s="102">
        <f>SUMPRODUCT((Diário!$E$4:$E$2662='Analítico Cx.'!$B183)*(Diário!$B$4:$B$2662&gt;=F$4)*(Diário!$B$4:$B$2662&lt;=EOMONTH(F$4,0))*(Diário!$F$4:$F$2662))</f>
        <v>0</v>
      </c>
      <c r="G183" s="102">
        <f>SUMPRODUCT((Diário!$E$4:$E$2662='Analítico Cx.'!$B183)*(Diário!$B$4:$B$2662&gt;=G$4)*(Diário!$B$4:$B$2662&lt;=EOMONTH(G$4,0))*(Diário!$F$4:$F$2662))</f>
        <v>0</v>
      </c>
      <c r="H183" s="102">
        <f>SUMPRODUCT((Diário!$E$4:$E$2662='Analítico Cx.'!$B183)*(Diário!$B$4:$B$2662&gt;=H$4)*(Diário!$B$4:$B$2662&lt;=EOMONTH(H$4,0))*(Diário!$F$4:$F$2662))</f>
        <v>0</v>
      </c>
      <c r="I183" s="102">
        <f>SUMPRODUCT((Diário!$E$4:$E$2662='Analítico Cx.'!$B183)*(Diário!$B$4:$B$2662&gt;=I$4)*(Diário!$B$4:$B$2662&lt;=EOMONTH(I$4,0))*(Diário!$F$4:$F$2662))</f>
        <v>0</v>
      </c>
      <c r="J183" s="102">
        <f>SUMPRODUCT((Diário!$E$4:$E$2662='Analítico Cx.'!$B183)*(Diário!$B$4:$B$2662&gt;=J$4)*(Diário!$B$4:$B$2662&lt;=EOMONTH(J$4,0))*(Diário!$F$4:$F$2662))</f>
        <v>0</v>
      </c>
      <c r="K183" s="102">
        <f>SUMPRODUCT((Diário!$E$4:$E$2662='Analítico Cx.'!$B183)*(Diário!$B$4:$B$2662&gt;=K$4)*(Diário!$B$4:$B$2662&lt;=EOMONTH(K$4,0))*(Diário!$F$4:$F$2662))</f>
        <v>0</v>
      </c>
      <c r="L183" s="102">
        <f>SUMPRODUCT((Diário!$E$4:$E$2662='Analítico Cx.'!$B183)*(Diário!$B$4:$B$2662&gt;=L$4)*(Diário!$B$4:$B$2662&lt;=EOMONTH(L$4,0))*(Diário!$F$4:$F$2662))</f>
        <v>0</v>
      </c>
      <c r="M183" s="102">
        <f>SUMPRODUCT((Diário!$E$4:$E$2662='Analítico Cx.'!$B183)*(Diário!$B$4:$B$2662&gt;=M$4)*(Diário!$B$4:$B$2662&lt;=EOMONTH(M$4,0))*(Diário!$F$4:$F$2662))</f>
        <v>0</v>
      </c>
      <c r="N183" s="102">
        <f>SUMPRODUCT((Diário!$E$4:$E$2662='Analítico Cx.'!$B183)*(Diário!$B$4:$B$2662&gt;=N$4)*(Diário!$B$4:$B$2662&lt;=EOMONTH(N$4,0))*(Diário!$F$4:$F$2662))</f>
        <v>0</v>
      </c>
      <c r="O183" s="103">
        <f t="shared" si="23"/>
        <v>0</v>
      </c>
      <c r="P183" s="95">
        <f t="shared" si="22"/>
        <v>0</v>
      </c>
    </row>
    <row r="184" spans="1:16" ht="23.25" customHeight="1">
      <c r="A184" s="40" t="s">
        <v>126</v>
      </c>
      <c r="B184" s="38" t="s">
        <v>213</v>
      </c>
      <c r="C184" s="102">
        <f>SUMPRODUCT((Diário!$E$4:$E$2662='Analítico Cx.'!$B184)*(Diário!$B$4:$B$2662&gt;=C$4)*(Diário!$B$4:$B$2662&lt;=EOMONTH(C$4,0))*(Diário!$F$4:$F$2662))</f>
        <v>0</v>
      </c>
      <c r="D184" s="102">
        <f>SUMPRODUCT((Diário!$E$4:$E$2662='Analítico Cx.'!$B184)*(Diário!$B$4:$B$2662&gt;=D$4)*(Diário!$B$4:$B$2662&lt;=EOMONTH(D$4,0))*(Diário!$F$4:$F$2662))</f>
        <v>0</v>
      </c>
      <c r="E184" s="102">
        <f>SUMPRODUCT((Diário!$E$4:$E$2662='Analítico Cx.'!$B184)*(Diário!$B$4:$B$2662&gt;=E$4)*(Diário!$B$4:$B$2662&lt;=EOMONTH(E$4,0))*(Diário!$F$4:$F$2662))</f>
        <v>0</v>
      </c>
      <c r="F184" s="102">
        <f>SUMPRODUCT((Diário!$E$4:$E$2662='Analítico Cx.'!$B184)*(Diário!$B$4:$B$2662&gt;=F$4)*(Diário!$B$4:$B$2662&lt;=EOMONTH(F$4,0))*(Diário!$F$4:$F$2662))</f>
        <v>1654.9099999999999</v>
      </c>
      <c r="G184" s="102">
        <f>SUMPRODUCT((Diário!$E$4:$E$2662='Analítico Cx.'!$B184)*(Diário!$B$4:$B$2662&gt;=G$4)*(Diário!$B$4:$B$2662&lt;=EOMONTH(G$4,0))*(Diário!$F$4:$F$2662))</f>
        <v>0</v>
      </c>
      <c r="H184" s="102">
        <f>SUMPRODUCT((Diário!$E$4:$E$2662='Analítico Cx.'!$B184)*(Diário!$B$4:$B$2662&gt;=H$4)*(Diário!$B$4:$B$2662&lt;=EOMONTH(H$4,0))*(Diário!$F$4:$F$2662))</f>
        <v>0</v>
      </c>
      <c r="I184" s="102">
        <f>SUMPRODUCT((Diário!$E$4:$E$2662='Analítico Cx.'!$B184)*(Diário!$B$4:$B$2662&gt;=I$4)*(Diário!$B$4:$B$2662&lt;=EOMONTH(I$4,0))*(Diário!$F$4:$F$2662))</f>
        <v>0</v>
      </c>
      <c r="J184" s="102">
        <f>SUMPRODUCT((Diário!$E$4:$E$2662='Analítico Cx.'!$B184)*(Diário!$B$4:$B$2662&gt;=J$4)*(Diário!$B$4:$B$2662&lt;=EOMONTH(J$4,0))*(Diário!$F$4:$F$2662))</f>
        <v>0</v>
      </c>
      <c r="K184" s="102">
        <f>SUMPRODUCT((Diário!$E$4:$E$2662='Analítico Cx.'!$B184)*(Diário!$B$4:$B$2662&gt;=K$4)*(Diário!$B$4:$B$2662&lt;=EOMONTH(K$4,0))*(Diário!$F$4:$F$2662))</f>
        <v>0</v>
      </c>
      <c r="L184" s="102">
        <f>SUMPRODUCT((Diário!$E$4:$E$2662='Analítico Cx.'!$B184)*(Diário!$B$4:$B$2662&gt;=L$4)*(Diário!$B$4:$B$2662&lt;=EOMONTH(L$4,0))*(Diário!$F$4:$F$2662))</f>
        <v>0</v>
      </c>
      <c r="M184" s="102">
        <f>SUMPRODUCT((Diário!$E$4:$E$2662='Analítico Cx.'!$B184)*(Diário!$B$4:$B$2662&gt;=M$4)*(Diário!$B$4:$B$2662&lt;=EOMONTH(M$4,0))*(Diário!$F$4:$F$2662))</f>
        <v>0</v>
      </c>
      <c r="N184" s="102">
        <f>SUMPRODUCT((Diário!$E$4:$E$2662='Analítico Cx.'!$B184)*(Diário!$B$4:$B$2662&gt;=N$4)*(Diário!$B$4:$B$2662&lt;=EOMONTH(N$4,0))*(Diário!$F$4:$F$2662))</f>
        <v>0</v>
      </c>
      <c r="O184" s="103">
        <f t="shared" si="23"/>
        <v>1654.9099999999999</v>
      </c>
      <c r="P184" s="95">
        <f t="shared" si="22"/>
        <v>8.5453918801765678E-5</v>
      </c>
    </row>
    <row r="185" spans="1:16" ht="23.25" customHeight="1">
      <c r="A185" s="40" t="s">
        <v>128</v>
      </c>
      <c r="B185" s="38" t="s">
        <v>211</v>
      </c>
      <c r="C185" s="102">
        <f>SUMPRODUCT((Diário!$E$4:$E$2662='Analítico Cx.'!$B185)*(Diário!$B$4:$B$2662&gt;=C$4)*(Diário!$B$4:$B$2662&lt;=EOMONTH(C$4,0))*(Diário!$F$4:$F$2662))</f>
        <v>0</v>
      </c>
      <c r="D185" s="102">
        <f>SUMPRODUCT((Diário!$E$4:$E$2662='Analítico Cx.'!$B185)*(Diário!$B$4:$B$2662&gt;=D$4)*(Diário!$B$4:$B$2662&lt;=EOMONTH(D$4,0))*(Diário!$F$4:$F$2662))</f>
        <v>0</v>
      </c>
      <c r="E185" s="102">
        <f>SUMPRODUCT((Diário!$E$4:$E$2662='Analítico Cx.'!$B185)*(Diário!$B$4:$B$2662&gt;=E$4)*(Diário!$B$4:$B$2662&lt;=EOMONTH(E$4,0))*(Diário!$F$4:$F$2662))</f>
        <v>0</v>
      </c>
      <c r="F185" s="102">
        <f>SUMPRODUCT((Diário!$E$4:$E$2662='Analítico Cx.'!$B185)*(Diário!$B$4:$B$2662&gt;=F$4)*(Diário!$B$4:$B$2662&lt;=EOMONTH(F$4,0))*(Diário!$F$4:$F$2662))</f>
        <v>0</v>
      </c>
      <c r="G185" s="102">
        <f>SUMPRODUCT((Diário!$E$4:$E$2662='Analítico Cx.'!$B185)*(Diário!$B$4:$B$2662&gt;=G$4)*(Diário!$B$4:$B$2662&lt;=EOMONTH(G$4,0))*(Diário!$F$4:$F$2662))</f>
        <v>0</v>
      </c>
      <c r="H185" s="102">
        <f>SUMPRODUCT((Diário!$E$4:$E$2662='Analítico Cx.'!$B185)*(Diário!$B$4:$B$2662&gt;=H$4)*(Diário!$B$4:$B$2662&lt;=EOMONTH(H$4,0))*(Diário!$F$4:$F$2662))</f>
        <v>0</v>
      </c>
      <c r="I185" s="102">
        <f>SUMPRODUCT((Diário!$E$4:$E$2662='Analítico Cx.'!$B185)*(Diário!$B$4:$B$2662&gt;=I$4)*(Diário!$B$4:$B$2662&lt;=EOMONTH(I$4,0))*(Diário!$F$4:$F$2662))</f>
        <v>0</v>
      </c>
      <c r="J185" s="102">
        <f>SUMPRODUCT((Diário!$E$4:$E$2662='Analítico Cx.'!$B185)*(Diário!$B$4:$B$2662&gt;=J$4)*(Diário!$B$4:$B$2662&lt;=EOMONTH(J$4,0))*(Diário!$F$4:$F$2662))</f>
        <v>0</v>
      </c>
      <c r="K185" s="102">
        <f>SUMPRODUCT((Diário!$E$4:$E$2662='Analítico Cx.'!$B185)*(Diário!$B$4:$B$2662&gt;=K$4)*(Diário!$B$4:$B$2662&lt;=EOMONTH(K$4,0))*(Diário!$F$4:$F$2662))</f>
        <v>0</v>
      </c>
      <c r="L185" s="102">
        <f>SUMPRODUCT((Diário!$E$4:$E$2662='Analítico Cx.'!$B185)*(Diário!$B$4:$B$2662&gt;=L$4)*(Diário!$B$4:$B$2662&lt;=EOMONTH(L$4,0))*(Diário!$F$4:$F$2662))</f>
        <v>0</v>
      </c>
      <c r="M185" s="102">
        <f>SUMPRODUCT((Diário!$E$4:$E$2662='Analítico Cx.'!$B185)*(Diário!$B$4:$B$2662&gt;=M$4)*(Diário!$B$4:$B$2662&lt;=EOMONTH(M$4,0))*(Diário!$F$4:$F$2662))</f>
        <v>0</v>
      </c>
      <c r="N185" s="102">
        <f>SUMPRODUCT((Diário!$E$4:$E$2662='Analítico Cx.'!$B185)*(Diário!$B$4:$B$2662&gt;=N$4)*(Diário!$B$4:$B$2662&lt;=EOMONTH(N$4,0))*(Diário!$F$4:$F$2662))</f>
        <v>0</v>
      </c>
      <c r="O185" s="103">
        <f t="shared" si="23"/>
        <v>0</v>
      </c>
      <c r="P185" s="95">
        <f t="shared" si="22"/>
        <v>0</v>
      </c>
    </row>
    <row r="186" spans="1:16" ht="23.25" customHeight="1">
      <c r="A186" s="40" t="s">
        <v>130</v>
      </c>
      <c r="B186" s="38" t="s">
        <v>216</v>
      </c>
      <c r="C186" s="102">
        <f>SUMPRODUCT((Diário!$E$4:$E$2662='Analítico Cx.'!$B186)*(Diário!$B$4:$B$2662&gt;=C$4)*(Diário!$B$4:$B$2662&lt;=EOMONTH(C$4,0))*(Diário!$F$4:$F$2662))</f>
        <v>0</v>
      </c>
      <c r="D186" s="102">
        <f>SUMPRODUCT((Diário!$E$4:$E$2662='Analítico Cx.'!$B186)*(Diário!$B$4:$B$2662&gt;=D$4)*(Diário!$B$4:$B$2662&lt;=EOMONTH(D$4,0))*(Diário!$F$4:$F$2662))</f>
        <v>0</v>
      </c>
      <c r="E186" s="102">
        <f>SUMPRODUCT((Diário!$E$4:$E$2662='Analítico Cx.'!$B186)*(Diário!$B$4:$B$2662&gt;=E$4)*(Diário!$B$4:$B$2662&lt;=EOMONTH(E$4,0))*(Diário!$F$4:$F$2662))</f>
        <v>0</v>
      </c>
      <c r="F186" s="102">
        <f>SUMPRODUCT((Diário!$E$4:$E$2662='Analítico Cx.'!$B186)*(Diário!$B$4:$B$2662&gt;=F$4)*(Diário!$B$4:$B$2662&lt;=EOMONTH(F$4,0))*(Diário!$F$4:$F$2662))</f>
        <v>0</v>
      </c>
      <c r="G186" s="102">
        <f>SUMPRODUCT((Diário!$E$4:$E$2662='Analítico Cx.'!$B186)*(Diário!$B$4:$B$2662&gt;=G$4)*(Diário!$B$4:$B$2662&lt;=EOMONTH(G$4,0))*(Diário!$F$4:$F$2662))</f>
        <v>0</v>
      </c>
      <c r="H186" s="102">
        <f>SUMPRODUCT((Diário!$E$4:$E$2662='Analítico Cx.'!$B186)*(Diário!$B$4:$B$2662&gt;=H$4)*(Diário!$B$4:$B$2662&lt;=EOMONTH(H$4,0))*(Diário!$F$4:$F$2662))</f>
        <v>0</v>
      </c>
      <c r="I186" s="102">
        <f>SUMPRODUCT((Diário!$E$4:$E$2662='Analítico Cx.'!$B186)*(Diário!$B$4:$B$2662&gt;=I$4)*(Diário!$B$4:$B$2662&lt;=EOMONTH(I$4,0))*(Diário!$F$4:$F$2662))</f>
        <v>0</v>
      </c>
      <c r="J186" s="102">
        <f>SUMPRODUCT((Diário!$E$4:$E$2662='Analítico Cx.'!$B186)*(Diário!$B$4:$B$2662&gt;=J$4)*(Diário!$B$4:$B$2662&lt;=EOMONTH(J$4,0))*(Diário!$F$4:$F$2662))</f>
        <v>0</v>
      </c>
      <c r="K186" s="102">
        <f>SUMPRODUCT((Diário!$E$4:$E$2662='Analítico Cx.'!$B186)*(Diário!$B$4:$B$2662&gt;=K$4)*(Diário!$B$4:$B$2662&lt;=EOMONTH(K$4,0))*(Diário!$F$4:$F$2662))</f>
        <v>0</v>
      </c>
      <c r="L186" s="102">
        <f>SUMPRODUCT((Diário!$E$4:$E$2662='Analítico Cx.'!$B186)*(Diário!$B$4:$B$2662&gt;=L$4)*(Diário!$B$4:$B$2662&lt;=EOMONTH(L$4,0))*(Diário!$F$4:$F$2662))</f>
        <v>0</v>
      </c>
      <c r="M186" s="102">
        <f>SUMPRODUCT((Diário!$E$4:$E$2662='Analítico Cx.'!$B186)*(Diário!$B$4:$B$2662&gt;=M$4)*(Diário!$B$4:$B$2662&lt;=EOMONTH(M$4,0))*(Diário!$F$4:$F$2662))</f>
        <v>0</v>
      </c>
      <c r="N186" s="102">
        <f>SUMPRODUCT((Diário!$E$4:$E$2662='Analítico Cx.'!$B186)*(Diário!$B$4:$B$2662&gt;=N$4)*(Diário!$B$4:$B$2662&lt;=EOMONTH(N$4,0))*(Diário!$F$4:$F$2662))</f>
        <v>0</v>
      </c>
      <c r="O186" s="103">
        <f t="shared" si="23"/>
        <v>0</v>
      </c>
      <c r="P186" s="95">
        <f t="shared" si="22"/>
        <v>0</v>
      </c>
    </row>
    <row r="187" spans="1:16" ht="23.25" customHeight="1">
      <c r="A187" s="40" t="s">
        <v>131</v>
      </c>
      <c r="B187" s="38" t="s">
        <v>349</v>
      </c>
      <c r="C187" s="102">
        <f>SUMPRODUCT((Diário!$E$4:$E$2662='Analítico Cx.'!$B187)*(Diário!$B$4:$B$2662&gt;=C$4)*(Diário!$B$4:$B$2662&lt;=EOMONTH(C$4,0))*(Diário!$F$4:$F$2662))</f>
        <v>0</v>
      </c>
      <c r="D187" s="102">
        <f>SUMPRODUCT((Diário!$E$4:$E$2662='Analítico Cx.'!$B187)*(Diário!$B$4:$B$2662&gt;=D$4)*(Diário!$B$4:$B$2662&lt;=EOMONTH(D$4,0))*(Diário!$F$4:$F$2662))</f>
        <v>2742.8</v>
      </c>
      <c r="E187" s="102">
        <f>SUMPRODUCT((Diário!$E$4:$E$2662='Analítico Cx.'!$B187)*(Diário!$B$4:$B$2662&gt;=E$4)*(Diário!$B$4:$B$2662&lt;=EOMONTH(E$4,0))*(Diário!$F$4:$F$2662))</f>
        <v>8100</v>
      </c>
      <c r="F187" s="102">
        <f>SUMPRODUCT((Diário!$E$4:$E$2662='Analítico Cx.'!$B187)*(Diário!$B$4:$B$2662&gt;=F$4)*(Diário!$B$4:$B$2662&lt;=EOMONTH(F$4,0))*(Diário!$F$4:$F$2662))</f>
        <v>14417</v>
      </c>
      <c r="G187" s="102">
        <f>SUMPRODUCT((Diário!$E$4:$E$2662='Analítico Cx.'!$B187)*(Diário!$B$4:$B$2662&gt;=G$4)*(Diário!$B$4:$B$2662&lt;=EOMONTH(G$4,0))*(Diário!$F$4:$F$2662))</f>
        <v>2280</v>
      </c>
      <c r="H187" s="102">
        <f>SUMPRODUCT((Diário!$E$4:$E$2662='Analítico Cx.'!$B187)*(Diário!$B$4:$B$2662&gt;=H$4)*(Diário!$B$4:$B$2662&lt;=EOMONTH(H$4,0))*(Diário!$F$4:$F$2662))</f>
        <v>8840</v>
      </c>
      <c r="I187" s="102">
        <f>SUMPRODUCT((Diário!$E$4:$E$2662='Analítico Cx.'!$B187)*(Diário!$B$4:$B$2662&gt;=I$4)*(Diário!$B$4:$B$2662&lt;=EOMONTH(I$4,0))*(Diário!$F$4:$F$2662))</f>
        <v>0</v>
      </c>
      <c r="J187" s="102">
        <f>SUMPRODUCT((Diário!$E$4:$E$2662='Analítico Cx.'!$B187)*(Diário!$B$4:$B$2662&gt;=J$4)*(Diário!$B$4:$B$2662&lt;=EOMONTH(J$4,0))*(Diário!$F$4:$F$2662))</f>
        <v>0</v>
      </c>
      <c r="K187" s="102">
        <f>SUMPRODUCT((Diário!$E$4:$E$2662='Analítico Cx.'!$B187)*(Diário!$B$4:$B$2662&gt;=K$4)*(Diário!$B$4:$B$2662&lt;=EOMONTH(K$4,0))*(Diário!$F$4:$F$2662))</f>
        <v>0</v>
      </c>
      <c r="L187" s="102">
        <f>SUMPRODUCT((Diário!$E$4:$E$2662='Analítico Cx.'!$B187)*(Diário!$B$4:$B$2662&gt;=L$4)*(Diário!$B$4:$B$2662&lt;=EOMONTH(L$4,0))*(Diário!$F$4:$F$2662))</f>
        <v>0</v>
      </c>
      <c r="M187" s="102">
        <f>SUMPRODUCT((Diário!$E$4:$E$2662='Analítico Cx.'!$B187)*(Diário!$B$4:$B$2662&gt;=M$4)*(Diário!$B$4:$B$2662&lt;=EOMONTH(M$4,0))*(Diário!$F$4:$F$2662))</f>
        <v>0</v>
      </c>
      <c r="N187" s="102">
        <f>SUMPRODUCT((Diário!$E$4:$E$2662='Analítico Cx.'!$B187)*(Diário!$B$4:$B$2662&gt;=N$4)*(Diário!$B$4:$B$2662&lt;=EOMONTH(N$4,0))*(Diário!$F$4:$F$2662))</f>
        <v>0</v>
      </c>
      <c r="O187" s="103">
        <f t="shared" ref="O187" si="24">SUM(C187:N187)</f>
        <v>36379.800000000003</v>
      </c>
      <c r="P187" s="95">
        <f t="shared" si="22"/>
        <v>1.8785290289045783E-3</v>
      </c>
    </row>
    <row r="188" spans="1:16" ht="23.25" customHeight="1">
      <c r="A188" s="40" t="s">
        <v>350</v>
      </c>
      <c r="B188" s="41" t="s">
        <v>219</v>
      </c>
      <c r="C188" s="102">
        <f>SUMPRODUCT((Diário!$E$4:$E$2662='Analítico Cx.'!$B188)*(Diário!$B$4:$B$2662&gt;=C$4)*(Diário!$B$4:$B$2662&lt;=EOMONTH(C$4,0))*(Diário!$F$4:$F$2662))</f>
        <v>0</v>
      </c>
      <c r="D188" s="102">
        <f>SUMPRODUCT((Diário!$E$4:$E$2662='Analítico Cx.'!$B188)*(Diário!$B$4:$B$2662&gt;=D$4)*(Diário!$B$4:$B$2662&lt;=EOMONTH(D$4,0))*(Diário!$F$4:$F$2662))</f>
        <v>0</v>
      </c>
      <c r="E188" s="102">
        <f>SUMPRODUCT((Diário!$E$4:$E$2662='Analítico Cx.'!$B188)*(Diário!$B$4:$B$2662&gt;=E$4)*(Diário!$B$4:$B$2662&lt;=EOMONTH(E$4,0))*(Diário!$F$4:$F$2662))</f>
        <v>0</v>
      </c>
      <c r="F188" s="102">
        <f>SUMPRODUCT((Diário!$E$4:$E$2662='Analítico Cx.'!$B188)*(Diário!$B$4:$B$2662&gt;=F$4)*(Diário!$B$4:$B$2662&lt;=EOMONTH(F$4,0))*(Diário!$F$4:$F$2662))</f>
        <v>0</v>
      </c>
      <c r="G188" s="102">
        <f>SUMPRODUCT((Diário!$E$4:$E$2662='Analítico Cx.'!$B188)*(Diário!$B$4:$B$2662&gt;=G$4)*(Diário!$B$4:$B$2662&lt;=EOMONTH(G$4,0))*(Diário!$F$4:$F$2662))</f>
        <v>0</v>
      </c>
      <c r="H188" s="102">
        <f>SUMPRODUCT((Diário!$E$4:$E$2662='Analítico Cx.'!$B188)*(Diário!$B$4:$B$2662&gt;=H$4)*(Diário!$B$4:$B$2662&lt;=EOMONTH(H$4,0))*(Diário!$F$4:$F$2662))</f>
        <v>0</v>
      </c>
      <c r="I188" s="102">
        <f>SUMPRODUCT((Diário!$E$4:$E$2662='Analítico Cx.'!$B188)*(Diário!$B$4:$B$2662&gt;=I$4)*(Diário!$B$4:$B$2662&lt;=EOMONTH(I$4,0))*(Diário!$F$4:$F$2662))</f>
        <v>0</v>
      </c>
      <c r="J188" s="102">
        <f>SUMPRODUCT((Diário!$E$4:$E$2662='Analítico Cx.'!$B188)*(Diário!$B$4:$B$2662&gt;=J$4)*(Diário!$B$4:$B$2662&lt;=EOMONTH(J$4,0))*(Diário!$F$4:$F$2662))</f>
        <v>0</v>
      </c>
      <c r="K188" s="102">
        <f>SUMPRODUCT((Diário!$E$4:$E$2662='Analítico Cx.'!$B188)*(Diário!$B$4:$B$2662&gt;=K$4)*(Diário!$B$4:$B$2662&lt;=EOMONTH(K$4,0))*(Diário!$F$4:$F$2662))</f>
        <v>0</v>
      </c>
      <c r="L188" s="102">
        <f>SUMPRODUCT((Diário!$E$4:$E$2662='Analítico Cx.'!$B188)*(Diário!$B$4:$B$2662&gt;=L$4)*(Diário!$B$4:$B$2662&lt;=EOMONTH(L$4,0))*(Diário!$F$4:$F$2662))</f>
        <v>0</v>
      </c>
      <c r="M188" s="102">
        <f>SUMPRODUCT((Diário!$E$4:$E$2662='Analítico Cx.'!$B188)*(Diário!$B$4:$B$2662&gt;=M$4)*(Diário!$B$4:$B$2662&lt;=EOMONTH(M$4,0))*(Diário!$F$4:$F$2662))</f>
        <v>0</v>
      </c>
      <c r="N188" s="102">
        <f>SUMPRODUCT((Diário!$E$4:$E$2662='Analítico Cx.'!$B188)*(Diário!$B$4:$B$2662&gt;=N$4)*(Diário!$B$4:$B$2662&lt;=EOMONTH(N$4,0))*(Diário!$F$4:$F$2662))</f>
        <v>0</v>
      </c>
      <c r="O188" s="103">
        <f t="shared" si="23"/>
        <v>0</v>
      </c>
      <c r="P188" s="95">
        <f t="shared" si="22"/>
        <v>0</v>
      </c>
    </row>
    <row r="189" spans="1:16" ht="23.25" customHeight="1" thickBot="1">
      <c r="A189" s="231"/>
      <c r="B189" s="232" t="s">
        <v>348</v>
      </c>
      <c r="C189" s="208">
        <f t="shared" ref="C189:O189" si="25">SUBTOTAL(109,C175:C188)</f>
        <v>53075.14</v>
      </c>
      <c r="D189" s="208">
        <f t="shared" si="25"/>
        <v>4930.8</v>
      </c>
      <c r="E189" s="208">
        <f t="shared" si="25"/>
        <v>8100</v>
      </c>
      <c r="F189" s="208">
        <f t="shared" si="25"/>
        <v>16817.349999999999</v>
      </c>
      <c r="G189" s="208">
        <f t="shared" si="25"/>
        <v>26366.51</v>
      </c>
      <c r="H189" s="208">
        <f t="shared" si="25"/>
        <v>29029</v>
      </c>
      <c r="I189" s="208">
        <f t="shared" ref="I189:N189" si="26">SUBTOTAL(109,I175:I188)</f>
        <v>0</v>
      </c>
      <c r="J189" s="208">
        <f t="shared" si="26"/>
        <v>0</v>
      </c>
      <c r="K189" s="208">
        <f t="shared" si="26"/>
        <v>0</v>
      </c>
      <c r="L189" s="208">
        <f t="shared" si="26"/>
        <v>0</v>
      </c>
      <c r="M189" s="208">
        <f t="shared" si="26"/>
        <v>0</v>
      </c>
      <c r="N189" s="208">
        <f t="shared" si="26"/>
        <v>0</v>
      </c>
      <c r="O189" s="208">
        <f t="shared" si="25"/>
        <v>138318.79999999999</v>
      </c>
      <c r="P189" s="233">
        <f t="shared" si="22"/>
        <v>7.1423119710181619E-3</v>
      </c>
    </row>
    <row r="190" spans="1:16" ht="23.25" customHeight="1" thickBot="1">
      <c r="A190" s="227" t="s">
        <v>285</v>
      </c>
      <c r="B190" s="212" t="s">
        <v>360</v>
      </c>
      <c r="C190" s="207">
        <f>SUMPRODUCT((Diário!$E$4:$E$2662='Analítico Cx.'!$B190)*(Diário!$B$4:$B$2662&gt;=C$4)*(Diário!$B$4:$B$2662&lt;=EOMONTH(C$4,0))*(Diário!$F$4:$F$2662))</f>
        <v>14398.92</v>
      </c>
      <c r="D190" s="207">
        <f>SUMPRODUCT((Diário!$E$4:$E$2662='Analítico Cx.'!$B190)*(Diário!$B$4:$B$2662&gt;=D$4)*(Diário!$B$4:$B$2662&lt;=EOMONTH(D$4,0))*(Diário!$F$4:$F$2662))</f>
        <v>0</v>
      </c>
      <c r="E190" s="207">
        <f>SUMPRODUCT((Diário!$E$4:$E$2662='Analítico Cx.'!$B190)*(Diário!$B$4:$B$2662&gt;=E$4)*(Diário!$B$4:$B$2662&lt;=EOMONTH(E$4,0))*(Diário!$F$4:$F$2662))</f>
        <v>0</v>
      </c>
      <c r="F190" s="207">
        <f>SUMPRODUCT((Diário!$E$4:$E$2662='Analítico Cx.'!$B190)*(Diário!$B$4:$B$2662&gt;=F$4)*(Diário!$B$4:$B$2662&lt;=EOMONTH(F$4,0))*(Diário!$F$4:$F$2662))</f>
        <v>34867.74</v>
      </c>
      <c r="G190" s="207">
        <f>SUMPRODUCT((Diário!$E$4:$E$2662='Analítico Cx.'!$B190)*(Diário!$B$4:$B$2662&gt;=G$4)*(Diário!$B$4:$B$2662&lt;=EOMONTH(G$4,0))*(Diário!$F$4:$F$2662))</f>
        <v>9031.83</v>
      </c>
      <c r="H190" s="207">
        <f>SUMPRODUCT((Diário!$E$4:$E$2662='Analítico Cx.'!$B190)*(Diário!$B$4:$B$2662&gt;=H$4)*(Diário!$B$4:$B$2662&lt;=EOMONTH(H$4,0))*(Diário!$F$4:$F$2662))</f>
        <v>0</v>
      </c>
      <c r="I190" s="207">
        <f>SUMPRODUCT((Diário!$E$4:$E$2662='Analítico Cx.'!$B190)*(Diário!$B$4:$B$2662&gt;=I$4)*(Diário!$B$4:$B$2662&lt;=EOMONTH(I$4,0))*(Diário!$F$4:$F$2662))</f>
        <v>0</v>
      </c>
      <c r="J190" s="207">
        <f>SUMPRODUCT((Diário!$E$4:$E$2662='Analítico Cx.'!$B190)*(Diário!$B$4:$B$2662&gt;=J$4)*(Diário!$B$4:$B$2662&lt;=EOMONTH(J$4,0))*(Diário!$F$4:$F$2662))</f>
        <v>0</v>
      </c>
      <c r="K190" s="207">
        <f>SUMPRODUCT((Diário!$E$4:$E$2662='Analítico Cx.'!$B190)*(Diário!$B$4:$B$2662&gt;=K$4)*(Diário!$B$4:$B$2662&lt;=EOMONTH(K$4,0))*(Diário!$F$4:$F$2662))</f>
        <v>0</v>
      </c>
      <c r="L190" s="207">
        <f>SUMPRODUCT((Diário!$E$4:$E$2662='Analítico Cx.'!$B190)*(Diário!$B$4:$B$2662&gt;=L$4)*(Diário!$B$4:$B$2662&lt;=EOMONTH(L$4,0))*(Diário!$F$4:$F$2662))</f>
        <v>0</v>
      </c>
      <c r="M190" s="207">
        <f>SUMPRODUCT((Diário!$E$4:$E$2662='Analítico Cx.'!$B190)*(Diário!$B$4:$B$2662&gt;=M$4)*(Diário!$B$4:$B$2662&lt;=EOMONTH(M$4,0))*(Diário!$F$4:$F$2662))</f>
        <v>0</v>
      </c>
      <c r="N190" s="207">
        <f>SUMPRODUCT((Diário!$E$4:$E$2662='Analítico Cx.'!$B190)*(Diário!$B$4:$B$2662&gt;=N$4)*(Diário!$B$4:$B$2662&lt;=EOMONTH(N$4,0))*(Diário!$F$4:$F$2662))</f>
        <v>0</v>
      </c>
      <c r="O190" s="225">
        <f>SUM(C190:N190)</f>
        <v>58298.49</v>
      </c>
      <c r="P190" s="234">
        <f t="shared" si="22"/>
        <v>3.0103355655144684E-3</v>
      </c>
    </row>
    <row r="191" spans="1:16" ht="23.25" customHeight="1" thickBot="1">
      <c r="A191" s="213" t="s">
        <v>241</v>
      </c>
      <c r="B191" s="214"/>
      <c r="C191" s="200">
        <f t="shared" ref="C191:H191" si="27">SUBTOTAL(109,C20:C190)</f>
        <v>2613225.67</v>
      </c>
      <c r="D191" s="200">
        <f t="shared" si="27"/>
        <v>2273754.12</v>
      </c>
      <c r="E191" s="200">
        <f t="shared" si="27"/>
        <v>3109804.5900000008</v>
      </c>
      <c r="F191" s="200">
        <f t="shared" si="27"/>
        <v>3687375.5899999994</v>
      </c>
      <c r="G191" s="200">
        <f t="shared" si="27"/>
        <v>3522689.4900000007</v>
      </c>
      <c r="H191" s="200">
        <f t="shared" si="27"/>
        <v>4159260.6400999981</v>
      </c>
      <c r="I191" s="200">
        <f t="shared" ref="I191:N191" si="28">SUBTOTAL(109,I20:I190)</f>
        <v>0</v>
      </c>
      <c r="J191" s="200">
        <f t="shared" si="28"/>
        <v>0</v>
      </c>
      <c r="K191" s="200">
        <f t="shared" si="28"/>
        <v>0</v>
      </c>
      <c r="L191" s="200">
        <f t="shared" si="28"/>
        <v>0</v>
      </c>
      <c r="M191" s="200">
        <f t="shared" si="28"/>
        <v>0</v>
      </c>
      <c r="N191" s="200">
        <f t="shared" si="28"/>
        <v>0</v>
      </c>
      <c r="O191" s="229">
        <f>SUBTOTAL(109,O20:O190)</f>
        <v>19366110.100100003</v>
      </c>
      <c r="P191" s="230">
        <f t="shared" si="22"/>
        <v>1</v>
      </c>
    </row>
    <row r="192" spans="1:16">
      <c r="A192" s="93"/>
      <c r="B192" s="94"/>
      <c r="C192" s="103"/>
      <c r="D192" s="103"/>
      <c r="E192" s="103"/>
      <c r="F192" s="103"/>
      <c r="G192" s="103"/>
      <c r="H192" s="103"/>
      <c r="I192" s="103"/>
      <c r="J192" s="103"/>
      <c r="K192" s="103"/>
      <c r="L192" s="103"/>
      <c r="M192" s="103"/>
      <c r="N192" s="103"/>
      <c r="O192" s="103"/>
    </row>
  </sheetData>
  <sheetProtection algorithmName="SHA-512" hashValue="nhwigJye5XxZMMkwWZVrxd1wLisBCc3/cgruKhZafjiTdhVWqYCL3BqyLqs/Ma9W1de2NwUljMk7q/wzeETrHg==" saltValue="FJLPhhnfUsNZncR0CUQ3wg==" spinCount="100000" sheet="1" formatColumns="0"/>
  <dataConsolidate/>
  <mergeCells count="3">
    <mergeCell ref="A1:P1"/>
    <mergeCell ref="A2:P2"/>
    <mergeCell ref="A3:P3"/>
  </mergeCells>
  <phoneticPr fontId="0" type="noConversion"/>
  <printOptions horizontalCentered="1"/>
  <pageMargins left="0.19685039370078741" right="0.19685039370078741" top="0.59055118110236227" bottom="0.59055118110236227" header="0" footer="0"/>
  <pageSetup paperSize="9" scale="78" fitToHeight="0" pageOrder="overThenDown" orientation="portrait" r:id="rId1"/>
  <headerFooter>
    <oddFoote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pageSetUpPr fitToPage="1"/>
  </sheetPr>
  <dimension ref="A1:P189"/>
  <sheetViews>
    <sheetView showGridLines="0" workbookViewId="0">
      <pane xSplit="2" ySplit="4" topLeftCell="C5" activePane="bottomRight" state="frozen"/>
      <selection activeCell="K2409" sqref="K2409"/>
      <selection pane="topRight" activeCell="K2409" sqref="K2409"/>
      <selection pane="bottomLeft" activeCell="K2409" sqref="K2409"/>
      <selection pane="bottomRight" activeCell="Q9" sqref="Q9"/>
    </sheetView>
  </sheetViews>
  <sheetFormatPr defaultColWidth="9.140625" defaultRowHeight="12.75"/>
  <cols>
    <col min="1" max="1" width="7.42578125" style="15" customWidth="1"/>
    <col min="2" max="2" width="25.5703125" style="15" customWidth="1"/>
    <col min="3" max="5" width="12.42578125" style="15" bestFit="1" customWidth="1"/>
    <col min="6" max="8" width="12.42578125" style="15" customWidth="1"/>
    <col min="9" max="14" width="12.42578125" style="15" hidden="1" customWidth="1"/>
    <col min="15" max="16" width="12" style="15" bestFit="1" customWidth="1"/>
    <col min="17" max="16384" width="9.140625" style="15"/>
  </cols>
  <sheetData>
    <row r="1" spans="1:16" ht="28.5" customHeight="1">
      <c r="A1" s="536" t="str">
        <f>Capa!A70</f>
        <v xml:space="preserve">Contrato de Gestão nº06/2020 - Secretaria Estadual de Cultura e Instituto Cultural Filarmonica </v>
      </c>
      <c r="B1" s="536"/>
      <c r="C1" s="536"/>
      <c r="D1" s="536"/>
      <c r="E1" s="536"/>
      <c r="F1" s="536"/>
      <c r="G1" s="536"/>
      <c r="H1" s="536"/>
      <c r="I1" s="536"/>
      <c r="J1" s="536"/>
      <c r="K1" s="536"/>
      <c r="L1" s="536"/>
      <c r="M1" s="536"/>
      <c r="N1" s="536"/>
      <c r="O1" s="536"/>
      <c r="P1" s="536"/>
    </row>
    <row r="2" spans="1:16" ht="18.75" customHeight="1">
      <c r="A2" s="536" t="str">
        <f>Capa!A5</f>
        <v>24º Relatório Gerencial Financeiro</v>
      </c>
      <c r="B2" s="536"/>
      <c r="C2" s="536"/>
      <c r="D2" s="536"/>
      <c r="E2" s="536"/>
      <c r="F2" s="536"/>
      <c r="G2" s="536"/>
      <c r="H2" s="536"/>
      <c r="I2" s="536"/>
      <c r="J2" s="536"/>
      <c r="K2" s="536"/>
      <c r="L2" s="536"/>
      <c r="M2" s="536"/>
      <c r="N2" s="536"/>
      <c r="O2" s="536"/>
      <c r="P2" s="536"/>
    </row>
    <row r="3" spans="1:16" ht="18.75" customHeight="1" thickBot="1">
      <c r="A3" s="548" t="s">
        <v>284</v>
      </c>
      <c r="B3" s="548"/>
      <c r="C3" s="548"/>
      <c r="D3" s="548"/>
      <c r="E3" s="548"/>
      <c r="F3" s="548"/>
      <c r="G3" s="548"/>
      <c r="H3" s="548"/>
      <c r="I3" s="548"/>
      <c r="J3" s="548"/>
      <c r="K3" s="548"/>
      <c r="L3" s="548"/>
      <c r="M3" s="548"/>
      <c r="N3" s="548"/>
      <c r="O3" s="548"/>
      <c r="P3" s="548"/>
    </row>
    <row r="4" spans="1:16" ht="30" customHeight="1" thickBot="1">
      <c r="A4" s="308"/>
      <c r="B4" s="308"/>
      <c r="C4" s="309">
        <f>Resumo!C4</f>
        <v>46023</v>
      </c>
      <c r="D4" s="309">
        <f>Resumo!D4</f>
        <v>46054</v>
      </c>
      <c r="E4" s="309">
        <f>Resumo!E4</f>
        <v>46082</v>
      </c>
      <c r="F4" s="309">
        <f>Resumo!F4</f>
        <v>46113</v>
      </c>
      <c r="G4" s="309">
        <f>Resumo!G4</f>
        <v>46143</v>
      </c>
      <c r="H4" s="309">
        <f>Resumo!H4</f>
        <v>46174</v>
      </c>
      <c r="I4" s="309">
        <f>Resumo!I4</f>
        <v>46204</v>
      </c>
      <c r="J4" s="309">
        <f>Resumo!J4</f>
        <v>46235</v>
      </c>
      <c r="K4" s="309">
        <f>Resumo!K4</f>
        <v>46266</v>
      </c>
      <c r="L4" s="309">
        <f>Resumo!L4</f>
        <v>46296</v>
      </c>
      <c r="M4" s="309">
        <f>Resumo!M4</f>
        <v>46327</v>
      </c>
      <c r="N4" s="309">
        <f>Resumo!N4</f>
        <v>46357</v>
      </c>
      <c r="O4" s="310" t="s">
        <v>250</v>
      </c>
      <c r="P4" s="311" t="s">
        <v>357</v>
      </c>
    </row>
    <row r="5" spans="1:16" ht="23.25" customHeight="1" thickBot="1">
      <c r="A5" s="195">
        <v>1</v>
      </c>
      <c r="B5" s="195" t="s">
        <v>143</v>
      </c>
      <c r="C5" s="196"/>
      <c r="D5" s="196"/>
      <c r="E5" s="196"/>
      <c r="F5" s="196"/>
      <c r="G5" s="196"/>
      <c r="H5" s="196"/>
      <c r="I5" s="196"/>
      <c r="J5" s="196"/>
      <c r="K5" s="196"/>
      <c r="L5" s="196"/>
      <c r="M5" s="196"/>
      <c r="N5" s="196"/>
      <c r="O5" s="196"/>
      <c r="P5" s="197"/>
    </row>
    <row r="6" spans="1:16" ht="23.25" customHeight="1" thickBot="1">
      <c r="A6" s="237" t="s">
        <v>15</v>
      </c>
      <c r="B6" s="193" t="s">
        <v>338</v>
      </c>
      <c r="C6" s="241">
        <f>SUMPRODUCT((Diário!$E$4:$E$2662='Analítico Cp.'!$B6)*(Diário!$C$4:$C$2662&gt;=C$4)*(Diário!$C$4:$C$2662&lt;=EOMONTH(C$4,0))*(Diário!$F$4:$F$2662))
+SUMPRODUCT(('Comp.'!$D$5:$D$402=$B6)*('Comp.'!$B$5:$B$402&gt;=C$4)*('Comp.'!$B$5:$B$402&lt;=EOMONTH(C$4,0))*('Comp.'!$E$5:$E$402))</f>
        <v>0</v>
      </c>
      <c r="D6" s="241">
        <f>SUMPRODUCT((Diário!$E$4:$E$2662='Analítico Cp.'!$B6)*(Diário!$C$4:$C$2662&gt;=D$4)*(Diário!$C$4:$C$2662&lt;=EOMONTH(D$4,0))*(Diário!$F$4:$F$2662))
+SUMPRODUCT(('Comp.'!$D$5:$D$402=$B6)*('Comp.'!$B$5:$B$402&gt;=D$4)*('Comp.'!$B$5:$B$402&lt;=EOMONTH(D$4,0))*('Comp.'!$E$5:$E$402))</f>
        <v>1842751</v>
      </c>
      <c r="E6" s="241">
        <f>SUMPRODUCT((Diário!$E$4:$E$2662='Analítico Cp.'!$B6)*(Diário!$C$4:$C$2662&gt;=E$4)*(Diário!$C$4:$C$2662&lt;=EOMONTH(E$4,0))*(Diário!$F$4:$F$2662))
+SUMPRODUCT(('Comp.'!$D$5:$D$402=$B6)*('Comp.'!$B$5:$B$402&gt;=E$4)*('Comp.'!$B$5:$B$402&lt;=EOMONTH(E$4,0))*('Comp.'!$E$5:$E$402))</f>
        <v>1842751</v>
      </c>
      <c r="F6" s="241">
        <f>SUMPRODUCT((Diário!$E$4:$E$2662='Analítico Cp.'!$B6)*(Diário!$C$4:$C$2662&gt;=F$4)*(Diário!$C$4:$C$2662&lt;=EOMONTH(F$4,0))*(Diário!$F$4:$F$2662))
+SUMPRODUCT(('Comp.'!$D$5:$D$402=$B6)*('Comp.'!$B$5:$B$402&gt;=F$4)*('Comp.'!$B$5:$B$402&lt;=EOMONTH(F$4,0))*('Comp.'!$E$5:$E$402))</f>
        <v>1842751</v>
      </c>
      <c r="G6" s="241">
        <f>SUMPRODUCT((Diário!$E$4:$E$2662='Analítico Cp.'!$B6)*(Diário!$C$4:$C$2662&gt;=G$4)*(Diário!$C$4:$C$2662&lt;=EOMONTH(G$4,0))*(Diário!$F$4:$F$2662))
+SUMPRODUCT(('Comp.'!$D$5:$D$402=$B6)*('Comp.'!$B$5:$B$402&gt;=G$4)*('Comp.'!$B$5:$B$402&lt;=EOMONTH(G$4,0))*('Comp.'!$E$5:$E$402))</f>
        <v>1842751</v>
      </c>
      <c r="H6" s="241">
        <f>SUMPRODUCT((Diário!$E$4:$E$2662='Analítico Cp.'!$B6)*(Diário!$C$4:$C$2662&gt;=H$4)*(Diário!$C$4:$C$2662&lt;=EOMONTH(H$4,0))*(Diário!$F$4:$F$2662))
+SUMPRODUCT(('Comp.'!$D$5:$D$402=$B6)*('Comp.'!$B$5:$B$402&gt;=H$4)*('Comp.'!$B$5:$B$402&lt;=EOMONTH(H$4,0))*('Comp.'!$E$5:$E$402))</f>
        <v>1842751</v>
      </c>
      <c r="I6" s="241">
        <f>SUMPRODUCT((Diário!$E$4:$E$2662='Analítico Cp.'!$B6)*(Diário!$C$4:$C$2662&gt;=I$4)*(Diário!$C$4:$C$2662&lt;=EOMONTH(I$4,0))*(Diário!$F$4:$F$2662))
+SUMPRODUCT(('Comp.'!$D$5:$D$402=$B6)*('Comp.'!$B$5:$B$402&gt;=I$4)*('Comp.'!$B$5:$B$402&lt;=EOMONTH(I$4,0))*('Comp.'!$E$5:$E$402))</f>
        <v>0</v>
      </c>
      <c r="J6" s="241">
        <f>SUMPRODUCT((Diário!$E$4:$E$2662='Analítico Cp.'!$B6)*(Diário!$C$4:$C$2662&gt;=J$4)*(Diário!$C$4:$C$2662&lt;=EOMONTH(J$4,0))*(Diário!$F$4:$F$2662))
+SUMPRODUCT(('Comp.'!$D$5:$D$402=$B6)*('Comp.'!$B$5:$B$402&gt;=J$4)*('Comp.'!$B$5:$B$402&lt;=EOMONTH(J$4,0))*('Comp.'!$E$5:$E$402))</f>
        <v>0</v>
      </c>
      <c r="K6" s="241">
        <f>SUMPRODUCT((Diário!$E$4:$E$2662='Analítico Cp.'!$B6)*(Diário!$C$4:$C$2662&gt;=K$4)*(Diário!$C$4:$C$2662&lt;=EOMONTH(K$4,0))*(Diário!$F$4:$F$2662))
+SUMPRODUCT(('Comp.'!$D$5:$D$402=$B6)*('Comp.'!$B$5:$B$402&gt;=K$4)*('Comp.'!$B$5:$B$402&lt;=EOMONTH(K$4,0))*('Comp.'!$E$5:$E$402))</f>
        <v>0</v>
      </c>
      <c r="L6" s="241">
        <f>SUMPRODUCT((Diário!$E$4:$E$2662='Analítico Cp.'!$B6)*(Diário!$C$4:$C$2662&gt;=L$4)*(Diário!$C$4:$C$2662&lt;=EOMONTH(L$4,0))*(Diário!$F$4:$F$2662))
+SUMPRODUCT(('Comp.'!$D$5:$D$402=$B6)*('Comp.'!$B$5:$B$402&gt;=L$4)*('Comp.'!$B$5:$B$402&lt;=EOMONTH(L$4,0))*('Comp.'!$E$5:$E$402))</f>
        <v>0</v>
      </c>
      <c r="M6" s="241">
        <f>SUMPRODUCT((Diário!$E$4:$E$2662='Analítico Cp.'!$B6)*(Diário!$C$4:$C$2662&gt;=M$4)*(Diário!$C$4:$C$2662&lt;=EOMONTH(M$4,0))*(Diário!$F$4:$F$2662))
+SUMPRODUCT(('Comp.'!$D$5:$D$402=$B6)*('Comp.'!$B$5:$B$402&gt;=M$4)*('Comp.'!$B$5:$B$402&lt;=EOMONTH(M$4,0))*('Comp.'!$E$5:$E$402))</f>
        <v>0</v>
      </c>
      <c r="N6" s="241">
        <f>SUMPRODUCT((Diário!$E$4:$E$2662='Analítico Cp.'!$B6)*(Diário!$C$4:$C$2662&gt;=N$4)*(Diário!$C$4:$C$2662&lt;=EOMONTH(N$4,0))*(Diário!$F$4:$F$2662))
+SUMPRODUCT(('Comp.'!$D$5:$D$402=$B6)*('Comp.'!$B$5:$B$402&gt;=N$4)*('Comp.'!$B$5:$B$402&lt;=EOMONTH(N$4,0))*('Comp.'!$E$5:$E$402))</f>
        <v>0</v>
      </c>
      <c r="O6" s="242">
        <f>SUM(C6:N6)</f>
        <v>9213755</v>
      </c>
      <c r="P6" s="239">
        <f>IF($O$13=0,0,O6/$O$13)</f>
        <v>0.54407069597199276</v>
      </c>
    </row>
    <row r="7" spans="1:16" ht="23.25" customHeight="1" thickBot="1">
      <c r="A7" s="211" t="s">
        <v>286</v>
      </c>
      <c r="B7" s="212" t="s">
        <v>339</v>
      </c>
      <c r="C7" s="243">
        <f>SUMPRODUCT((Diário!$E$4:$E$2662='Analítico Cp.'!$B7)*(Diário!$C$4:$C$2662&gt;=C$4)*(Diário!$C$4:$C$2662&lt;=EOMONTH(C$4,0))*(Diário!$F$4:$F$2662))
+SUMPRODUCT(('Comp.'!$D$5:$D$402=$B7)*('Comp.'!$B$5:$B$402&gt;=C$4)*('Comp.'!$B$5:$B$402&lt;=EOMONTH(C$4,0))*('Comp.'!$E$5:$E$402))</f>
        <v>16273.810000000001</v>
      </c>
      <c r="D7" s="243">
        <f>SUMPRODUCT((Diário!$E$4:$E$2662='Analítico Cp.'!$B7)*(Diário!$C$4:$C$2662&gt;=D$4)*(Diário!$C$4:$C$2662&lt;=EOMONTH(D$4,0))*(Diário!$F$4:$F$2662))
+SUMPRODUCT(('Comp.'!$D$5:$D$402=$B7)*('Comp.'!$B$5:$B$402&gt;=D$4)*('Comp.'!$B$5:$B$402&lt;=EOMONTH(D$4,0))*('Comp.'!$E$5:$E$402))</f>
        <v>11536.789999999999</v>
      </c>
      <c r="E7" s="243">
        <f>SUMPRODUCT((Diário!$E$4:$E$2662='Analítico Cp.'!$B7)*(Diário!$C$4:$C$2662&gt;=E$4)*(Diário!$C$4:$C$2662&lt;=EOMONTH(E$4,0))*(Diário!$F$4:$F$2662))
+SUMPRODUCT(('Comp.'!$D$5:$D$402=$B7)*('Comp.'!$B$5:$B$402&gt;=E$4)*('Comp.'!$B$5:$B$402&lt;=EOMONTH(E$4,0))*('Comp.'!$E$5:$E$402))</f>
        <v>13484.310000000001</v>
      </c>
      <c r="F7" s="243">
        <f>SUMPRODUCT((Diário!$E$4:$E$2662='Analítico Cp.'!$B7)*(Diário!$C$4:$C$2662&gt;=F$4)*(Diário!$C$4:$C$2662&lt;=EOMONTH(F$4,0))*(Diário!$F$4:$F$2662))
+SUMPRODUCT(('Comp.'!$D$5:$D$402=$B7)*('Comp.'!$B$5:$B$402&gt;=F$4)*('Comp.'!$B$5:$B$402&lt;=EOMONTH(F$4,0))*('Comp.'!$E$5:$E$402))</f>
        <v>9819.92</v>
      </c>
      <c r="G7" s="243">
        <f>SUMPRODUCT((Diário!$E$4:$E$2662='Analítico Cp.'!$B7)*(Diário!$C$4:$C$2662&gt;=G$4)*(Diário!$C$4:$C$2662&lt;=EOMONTH(G$4,0))*(Diário!$F$4:$F$2662))
+SUMPRODUCT(('Comp.'!$D$5:$D$402=$B7)*('Comp.'!$B$5:$B$402&gt;=G$4)*('Comp.'!$B$5:$B$402&lt;=EOMONTH(G$4,0))*('Comp.'!$E$5:$E$402))</f>
        <v>11751.59</v>
      </c>
      <c r="H7" s="243">
        <f>SUMPRODUCT((Diário!$E$4:$E$2662='Analítico Cp.'!$B7)*(Diário!$C$4:$C$2662&gt;=H$4)*(Diário!$C$4:$C$2662&lt;=EOMONTH(H$4,0))*(Diário!$F$4:$F$2662))
+SUMPRODUCT(('Comp.'!$D$5:$D$402=$B7)*('Comp.'!$B$5:$B$402&gt;=H$4)*('Comp.'!$B$5:$B$402&lt;=EOMONTH(H$4,0))*('Comp.'!$E$5:$E$402))</f>
        <v>14201.310000000001</v>
      </c>
      <c r="I7" s="243">
        <f>SUMPRODUCT((Diário!$E$4:$E$2662='Analítico Cp.'!$B7)*(Diário!$C$4:$C$2662&gt;=I$4)*(Diário!$C$4:$C$2662&lt;=EOMONTH(I$4,0))*(Diário!$F$4:$F$2662))
+SUMPRODUCT(('Comp.'!$D$5:$D$402=$B7)*('Comp.'!$B$5:$B$402&gt;=I$4)*('Comp.'!$B$5:$B$402&lt;=EOMONTH(I$4,0))*('Comp.'!$E$5:$E$402))</f>
        <v>0</v>
      </c>
      <c r="J7" s="243">
        <f>SUMPRODUCT((Diário!$E$4:$E$2662='Analítico Cp.'!$B7)*(Diário!$C$4:$C$2662&gt;=J$4)*(Diário!$C$4:$C$2662&lt;=EOMONTH(J$4,0))*(Diário!$F$4:$F$2662))
+SUMPRODUCT(('Comp.'!$D$5:$D$402=$B7)*('Comp.'!$B$5:$B$402&gt;=J$4)*('Comp.'!$B$5:$B$402&lt;=EOMONTH(J$4,0))*('Comp.'!$E$5:$E$402))</f>
        <v>0</v>
      </c>
      <c r="K7" s="243">
        <f>SUMPRODUCT((Diário!$E$4:$E$2662='Analítico Cp.'!$B7)*(Diário!$C$4:$C$2662&gt;=K$4)*(Diário!$C$4:$C$2662&lt;=EOMONTH(K$4,0))*(Diário!$F$4:$F$2662))
+SUMPRODUCT(('Comp.'!$D$5:$D$402=$B7)*('Comp.'!$B$5:$B$402&gt;=K$4)*('Comp.'!$B$5:$B$402&lt;=EOMONTH(K$4,0))*('Comp.'!$E$5:$E$402))</f>
        <v>0</v>
      </c>
      <c r="L7" s="243">
        <f>SUMPRODUCT((Diário!$E$4:$E$2662='Analítico Cp.'!$B7)*(Diário!$C$4:$C$2662&gt;=L$4)*(Diário!$C$4:$C$2662&lt;=EOMONTH(L$4,0))*(Diário!$F$4:$F$2662))
+SUMPRODUCT(('Comp.'!$D$5:$D$402=$B7)*('Comp.'!$B$5:$B$402&gt;=L$4)*('Comp.'!$B$5:$B$402&lt;=EOMONTH(L$4,0))*('Comp.'!$E$5:$E$402))</f>
        <v>0</v>
      </c>
      <c r="M7" s="243">
        <f>SUMPRODUCT((Diário!$E$4:$E$2662='Analítico Cp.'!$B7)*(Diário!$C$4:$C$2662&gt;=M$4)*(Diário!$C$4:$C$2662&lt;=EOMONTH(M$4,0))*(Diário!$F$4:$F$2662))
+SUMPRODUCT(('Comp.'!$D$5:$D$402=$B7)*('Comp.'!$B$5:$B$402&gt;=M$4)*('Comp.'!$B$5:$B$402&lt;=EOMONTH(M$4,0))*('Comp.'!$E$5:$E$402))</f>
        <v>0</v>
      </c>
      <c r="N7" s="243">
        <f>SUMPRODUCT((Diário!$E$4:$E$2662='Analítico Cp.'!$B7)*(Diário!$C$4:$C$2662&gt;=N$4)*(Diário!$C$4:$C$2662&lt;=EOMONTH(N$4,0))*(Diário!$F$4:$F$2662))
+SUMPRODUCT(('Comp.'!$D$5:$D$402=$B7)*('Comp.'!$B$5:$B$402&gt;=N$4)*('Comp.'!$B$5:$B$402&lt;=EOMONTH(N$4,0))*('Comp.'!$E$5:$E$402))</f>
        <v>0</v>
      </c>
      <c r="O7" s="244">
        <f>SUM(C7:N7)</f>
        <v>77067.73</v>
      </c>
      <c r="P7" s="234">
        <f>IF($O$13=0,0,O7/$O$13)</f>
        <v>4.5508366022410651E-3</v>
      </c>
    </row>
    <row r="8" spans="1:16" ht="23.25" customHeight="1">
      <c r="A8" s="206" t="s">
        <v>332</v>
      </c>
      <c r="B8" s="206" t="s">
        <v>353</v>
      </c>
      <c r="C8" s="245"/>
      <c r="D8" s="245"/>
      <c r="E8" s="245"/>
      <c r="F8" s="245"/>
      <c r="G8" s="245"/>
      <c r="H8" s="245"/>
      <c r="I8" s="245"/>
      <c r="J8" s="245"/>
      <c r="K8" s="245"/>
      <c r="L8" s="245"/>
      <c r="M8" s="245"/>
      <c r="N8" s="245"/>
      <c r="O8" s="245"/>
      <c r="P8" s="210"/>
    </row>
    <row r="9" spans="1:16" ht="23.25" customHeight="1">
      <c r="A9" s="202" t="s">
        <v>333</v>
      </c>
      <c r="B9" s="39" t="s">
        <v>334</v>
      </c>
      <c r="C9" s="11">
        <f>SUMPRODUCT((Diário!$E$4:$E$2662='Analítico Cp.'!$B9)*(Diário!$C$4:$C$2662&gt;=C$4)*(Diário!$C$4:$C$2662&lt;=EOMONTH(C$4,0))*(Diário!$F$4:$F$2662))
+SUMPRODUCT(('Comp.'!$D$5:$D$402=$B9)*('Comp.'!$B$5:$B$402&gt;=C$4)*('Comp.'!$B$5:$B$402&lt;=EOMONTH(C$4,0))*('Comp.'!$E$5:$E$402))</f>
        <v>25907.909999999996</v>
      </c>
      <c r="D9" s="11">
        <f>SUMPRODUCT((Diário!$E$4:$E$2662='Analítico Cp.'!$B9)*(Diário!$C$4:$C$2662&gt;=D$4)*(Diário!$C$4:$C$2662&lt;=EOMONTH(D$4,0))*(Diário!$F$4:$F$2662))
+SUMPRODUCT(('Comp.'!$D$5:$D$402=$B9)*('Comp.'!$B$5:$B$402&gt;=D$4)*('Comp.'!$B$5:$B$402&lt;=EOMONTH(D$4,0))*('Comp.'!$E$5:$E$402))</f>
        <v>-3229433.88</v>
      </c>
      <c r="E9" s="11">
        <f>SUMPRODUCT((Diário!$E$4:$E$2662='Analítico Cp.'!$B9)*(Diário!$C$4:$C$2662&gt;=E$4)*(Diário!$C$4:$C$2662&lt;=EOMONTH(E$4,0))*(Diário!$F$4:$F$2662))
+SUMPRODUCT(('Comp.'!$D$5:$D$402=$B9)*('Comp.'!$B$5:$B$402&gt;=E$4)*('Comp.'!$B$5:$B$402&lt;=EOMONTH(E$4,0))*('Comp.'!$E$5:$E$402))</f>
        <v>1740828.8</v>
      </c>
      <c r="F9" s="11">
        <f>SUMPRODUCT((Diário!$E$4:$E$2662='Analítico Cp.'!$B9)*(Diário!$C$4:$C$2662&gt;=F$4)*(Diário!$C$4:$C$2662&lt;=EOMONTH(F$4,0))*(Diário!$F$4:$F$2662))
+SUMPRODUCT(('Comp.'!$D$5:$D$402=$B9)*('Comp.'!$B$5:$B$402&gt;=F$4)*('Comp.'!$B$5:$B$402&lt;=EOMONTH(F$4,0))*('Comp.'!$E$5:$E$402))</f>
        <v>1504599.0999999999</v>
      </c>
      <c r="G9" s="11">
        <f>SUMPRODUCT((Diário!$E$4:$E$2662='Analítico Cp.'!$B9)*(Diário!$C$4:$C$2662&gt;=G$4)*(Diário!$C$4:$C$2662&lt;=EOMONTH(G$4,0))*(Diário!$F$4:$F$2662))
+SUMPRODUCT(('Comp.'!$D$5:$D$402=$B9)*('Comp.'!$B$5:$B$402&gt;=G$4)*('Comp.'!$B$5:$B$402&lt;=EOMONTH(G$4,0))*('Comp.'!$E$5:$E$402))</f>
        <v>182513.16</v>
      </c>
      <c r="H9" s="11">
        <f>SUMPRODUCT((Diário!$E$4:$E$2662='Analítico Cp.'!$B9)*(Diário!$C$4:$C$2662&gt;=H$4)*(Diário!$C$4:$C$2662&lt;=EOMONTH(H$4,0))*(Diário!$F$4:$F$2662))
+SUMPRODUCT(('Comp.'!$D$5:$D$402=$B9)*('Comp.'!$B$5:$B$402&gt;=H$4)*('Comp.'!$B$5:$B$402&lt;=EOMONTH(H$4,0))*('Comp.'!$E$5:$E$402))</f>
        <v>4097610.9499999997</v>
      </c>
      <c r="I9" s="11">
        <f>SUMPRODUCT((Diário!$E$4:$E$2662='Analítico Cp.'!$B9)*(Diário!$C$4:$C$2662&gt;=I$4)*(Diário!$C$4:$C$2662&lt;=EOMONTH(I$4,0))*(Diário!$F$4:$F$2662))
+SUMPRODUCT(('Comp.'!$D$5:$D$402=$B9)*('Comp.'!$B$5:$B$402&gt;=I$4)*('Comp.'!$B$5:$B$402&lt;=EOMONTH(I$4,0))*('Comp.'!$E$5:$E$402))</f>
        <v>0</v>
      </c>
      <c r="J9" s="11">
        <f>SUMPRODUCT((Diário!$E$4:$E$2662='Analítico Cp.'!$B9)*(Diário!$C$4:$C$2662&gt;=J$4)*(Diário!$C$4:$C$2662&lt;=EOMONTH(J$4,0))*(Diário!$F$4:$F$2662))
+SUMPRODUCT(('Comp.'!$D$5:$D$402=$B9)*('Comp.'!$B$5:$B$402&gt;=J$4)*('Comp.'!$B$5:$B$402&lt;=EOMONTH(J$4,0))*('Comp.'!$E$5:$E$402))</f>
        <v>0</v>
      </c>
      <c r="K9" s="11">
        <f>SUMPRODUCT((Diário!$E$4:$E$2662='Analítico Cp.'!$B9)*(Diário!$C$4:$C$2662&gt;=K$4)*(Diário!$C$4:$C$2662&lt;=EOMONTH(K$4,0))*(Diário!$F$4:$F$2662))
+SUMPRODUCT(('Comp.'!$D$5:$D$402=$B9)*('Comp.'!$B$5:$B$402&gt;=K$4)*('Comp.'!$B$5:$B$402&lt;=EOMONTH(K$4,0))*('Comp.'!$E$5:$E$402))</f>
        <v>0</v>
      </c>
      <c r="L9" s="11">
        <f>SUMPRODUCT((Diário!$E$4:$E$2662='Analítico Cp.'!$B9)*(Diário!$C$4:$C$2662&gt;=L$4)*(Diário!$C$4:$C$2662&lt;=EOMONTH(L$4,0))*(Diário!$F$4:$F$2662))
+SUMPRODUCT(('Comp.'!$D$5:$D$402=$B9)*('Comp.'!$B$5:$B$402&gt;=L$4)*('Comp.'!$B$5:$B$402&lt;=EOMONTH(L$4,0))*('Comp.'!$E$5:$E$402))</f>
        <v>0</v>
      </c>
      <c r="M9" s="11">
        <f>SUMPRODUCT((Diário!$E$4:$E$2662='Analítico Cp.'!$B9)*(Diário!$C$4:$C$2662&gt;=M$4)*(Diário!$C$4:$C$2662&lt;=EOMONTH(M$4,0))*(Diário!$F$4:$F$2662))
+SUMPRODUCT(('Comp.'!$D$5:$D$402=$B9)*('Comp.'!$B$5:$B$402&gt;=M$4)*('Comp.'!$B$5:$B$402&lt;=EOMONTH(M$4,0))*('Comp.'!$E$5:$E$402))</f>
        <v>0</v>
      </c>
      <c r="N9" s="11">
        <f>SUMPRODUCT((Diário!$E$4:$E$2662='Analítico Cp.'!$B9)*(Diário!$C$4:$C$2662&gt;=N$4)*(Diário!$C$4:$C$2662&lt;=EOMONTH(N$4,0))*(Diário!$F$4:$F$2662))
+SUMPRODUCT(('Comp.'!$D$5:$D$402=$B9)*('Comp.'!$B$5:$B$402&gt;=N$4)*('Comp.'!$B$5:$B$402&lt;=EOMONTH(N$4,0))*('Comp.'!$E$5:$E$402))</f>
        <v>0</v>
      </c>
      <c r="O9" s="12">
        <f>SUM(C9:N9)</f>
        <v>4322026.04</v>
      </c>
      <c r="P9" s="95">
        <f>IF($O$13=0,0,O9/$O$13)</f>
        <v>0.25521491678386021</v>
      </c>
    </row>
    <row r="10" spans="1:16" ht="23.25" customHeight="1">
      <c r="A10" s="202" t="s">
        <v>335</v>
      </c>
      <c r="B10" s="39" t="s">
        <v>336</v>
      </c>
      <c r="C10" s="11">
        <f>SUMPRODUCT((Diário!$E$4:$E$2662='Analítico Cp.'!$B10)*(Diário!$C$4:$C$2662&gt;=C$4)*(Diário!$C$4:$C$2662&lt;=EOMONTH(C$4,0))*(Diário!$F$4:$F$2662))
+SUMPRODUCT(('Comp.'!$D$5:$D$402=$B10)*('Comp.'!$B$5:$B$402&gt;=C$4)*('Comp.'!$B$5:$B$402&lt;=EOMONTH(C$4,0))*('Comp.'!$E$5:$E$402))</f>
        <v>158950.63</v>
      </c>
      <c r="D10" s="11">
        <f>SUMPRODUCT((Diário!$E$4:$E$2662='Analítico Cp.'!$B10)*(Diário!$C$4:$C$2662&gt;=D$4)*(Diário!$C$4:$C$2662&lt;=EOMONTH(D$4,0))*(Diário!$F$4:$F$2662))
+SUMPRODUCT(('Comp.'!$D$5:$D$402=$B10)*('Comp.'!$B$5:$B$402&gt;=D$4)*('Comp.'!$B$5:$B$402&lt;=EOMONTH(D$4,0))*('Comp.'!$E$5:$E$402))</f>
        <v>119126.62000000001</v>
      </c>
      <c r="E10" s="11">
        <f>SUMPRODUCT((Diário!$E$4:$E$2662='Analítico Cp.'!$B10)*(Diário!$C$4:$C$2662&gt;=E$4)*(Diário!$C$4:$C$2662&lt;=EOMONTH(E$4,0))*(Diário!$F$4:$F$2662))
+SUMPRODUCT(('Comp.'!$D$5:$D$402=$B10)*('Comp.'!$B$5:$B$402&gt;=E$4)*('Comp.'!$B$5:$B$402&lt;=EOMONTH(E$4,0))*('Comp.'!$E$5:$E$402))</f>
        <v>124131.91000000002</v>
      </c>
      <c r="F10" s="11">
        <f>SUMPRODUCT((Diário!$E$4:$E$2662='Analítico Cp.'!$B10)*(Diário!$C$4:$C$2662&gt;=F$4)*(Diário!$C$4:$C$2662&lt;=EOMONTH(F$4,0))*(Diário!$F$4:$F$2662))
+SUMPRODUCT(('Comp.'!$D$5:$D$402=$B10)*('Comp.'!$B$5:$B$402&gt;=F$4)*('Comp.'!$B$5:$B$402&lt;=EOMONTH(F$4,0))*('Comp.'!$E$5:$E$402))</f>
        <v>108559.13</v>
      </c>
      <c r="G10" s="11">
        <f>SUMPRODUCT((Diário!$E$4:$E$2662='Analítico Cp.'!$B10)*(Diário!$C$4:$C$2662&gt;=G$4)*(Diário!$C$4:$C$2662&lt;=EOMONTH(G$4,0))*(Diário!$F$4:$F$2662))
+SUMPRODUCT(('Comp.'!$D$5:$D$402=$B10)*('Comp.'!$B$5:$B$402&gt;=G$4)*('Comp.'!$B$5:$B$402&lt;=EOMONTH(G$4,0))*('Comp.'!$E$5:$E$402))</f>
        <v>69778.25</v>
      </c>
      <c r="H10" s="11">
        <f>SUMPRODUCT((Diário!$E$4:$E$2662='Analítico Cp.'!$B10)*(Diário!$C$4:$C$2662&gt;=H$4)*(Diário!$C$4:$C$2662&lt;=EOMONTH(H$4,0))*(Diário!$F$4:$F$2662))
+SUMPRODUCT(('Comp.'!$D$5:$D$402=$B10)*('Comp.'!$B$5:$B$402&gt;=H$4)*('Comp.'!$B$5:$B$402&lt;=EOMONTH(H$4,0))*('Comp.'!$E$5:$E$402))</f>
        <v>109096.33</v>
      </c>
      <c r="I10" s="11">
        <f>SUMPRODUCT((Diário!$E$4:$E$2662='Analítico Cp.'!$B10)*(Diário!$C$4:$C$2662&gt;=I$4)*(Diário!$C$4:$C$2662&lt;=EOMONTH(I$4,0))*(Diário!$F$4:$F$2662))
+SUMPRODUCT(('Comp.'!$D$5:$D$402=$B10)*('Comp.'!$B$5:$B$402&gt;=I$4)*('Comp.'!$B$5:$B$402&lt;=EOMONTH(I$4,0))*('Comp.'!$E$5:$E$402))</f>
        <v>0</v>
      </c>
      <c r="J10" s="11">
        <f>SUMPRODUCT((Diário!$E$4:$E$2662='Analítico Cp.'!$B10)*(Diário!$C$4:$C$2662&gt;=J$4)*(Diário!$C$4:$C$2662&lt;=EOMONTH(J$4,0))*(Diário!$F$4:$F$2662))
+SUMPRODUCT(('Comp.'!$D$5:$D$402=$B10)*('Comp.'!$B$5:$B$402&gt;=J$4)*('Comp.'!$B$5:$B$402&lt;=EOMONTH(J$4,0))*('Comp.'!$E$5:$E$402))</f>
        <v>0</v>
      </c>
      <c r="K10" s="11">
        <f>SUMPRODUCT((Diário!$E$4:$E$2662='Analítico Cp.'!$B10)*(Diário!$C$4:$C$2662&gt;=K$4)*(Diário!$C$4:$C$2662&lt;=EOMONTH(K$4,0))*(Diário!$F$4:$F$2662))
+SUMPRODUCT(('Comp.'!$D$5:$D$402=$B10)*('Comp.'!$B$5:$B$402&gt;=K$4)*('Comp.'!$B$5:$B$402&lt;=EOMONTH(K$4,0))*('Comp.'!$E$5:$E$402))</f>
        <v>0</v>
      </c>
      <c r="L10" s="11">
        <f>SUMPRODUCT((Diário!$E$4:$E$2662='Analítico Cp.'!$B10)*(Diário!$C$4:$C$2662&gt;=L$4)*(Diário!$C$4:$C$2662&lt;=EOMONTH(L$4,0))*(Diário!$F$4:$F$2662))
+SUMPRODUCT(('Comp.'!$D$5:$D$402=$B10)*('Comp.'!$B$5:$B$402&gt;=L$4)*('Comp.'!$B$5:$B$402&lt;=EOMONTH(L$4,0))*('Comp.'!$E$5:$E$402))</f>
        <v>0</v>
      </c>
      <c r="M10" s="11">
        <f>SUMPRODUCT((Diário!$E$4:$E$2662='Analítico Cp.'!$B10)*(Diário!$C$4:$C$2662&gt;=M$4)*(Diário!$C$4:$C$2662&lt;=EOMONTH(M$4,0))*(Diário!$F$4:$F$2662))
+SUMPRODUCT(('Comp.'!$D$5:$D$402=$B10)*('Comp.'!$B$5:$B$402&gt;=M$4)*('Comp.'!$B$5:$B$402&lt;=EOMONTH(M$4,0))*('Comp.'!$E$5:$E$402))</f>
        <v>0</v>
      </c>
      <c r="N10" s="11">
        <f>SUMPRODUCT((Diário!$E$4:$E$2662='Analítico Cp.'!$B10)*(Diário!$C$4:$C$2662&gt;=N$4)*(Diário!$C$4:$C$2662&lt;=EOMONTH(N$4,0))*(Diário!$F$4:$F$2662))
+SUMPRODUCT(('Comp.'!$D$5:$D$402=$B10)*('Comp.'!$B$5:$B$402&gt;=N$4)*('Comp.'!$B$5:$B$402&lt;=EOMONTH(N$4,0))*('Comp.'!$E$5:$E$402))</f>
        <v>0</v>
      </c>
      <c r="O10" s="12">
        <f>SUM(C10:N10)</f>
        <v>689642.87</v>
      </c>
      <c r="P10" s="95">
        <f>IF($O$13=0,0,O10/$O$13)</f>
        <v>4.0723296446782284E-2</v>
      </c>
    </row>
    <row r="11" spans="1:16" ht="23.25" customHeight="1">
      <c r="A11" s="202" t="s">
        <v>337</v>
      </c>
      <c r="B11" s="39" t="s">
        <v>153</v>
      </c>
      <c r="C11" s="11">
        <f>SUMPRODUCT((Diário!$E$4:$E$2662='Analítico Cp.'!$B11)*(Diário!$C$4:$C$2662&gt;=C$4)*(Diário!$C$4:$C$2662&lt;=EOMONTH(C$4,0))*(Diário!$F$4:$F$2662))
+SUMPRODUCT(('Comp.'!$D$5:$D$402=$B11)*('Comp.'!$B$5:$B$402&gt;=C$4)*('Comp.'!$B$5:$B$402&lt;=EOMONTH(C$4,0))*('Comp.'!$E$5:$E$402))</f>
        <v>402985.23000000004</v>
      </c>
      <c r="D11" s="11">
        <f>SUMPRODUCT((Diário!$E$4:$E$2662='Analítico Cp.'!$B11)*(Diário!$C$4:$C$2662&gt;=D$4)*(Diário!$C$4:$C$2662&lt;=EOMONTH(D$4,0))*(Diário!$F$4:$F$2662))
+SUMPRODUCT(('Comp.'!$D$5:$D$402=$B11)*('Comp.'!$B$5:$B$402&gt;=D$4)*('Comp.'!$B$5:$B$402&lt;=EOMONTH(D$4,0))*('Comp.'!$E$5:$E$402))</f>
        <v>261722.72</v>
      </c>
      <c r="E11" s="11">
        <f>SUMPRODUCT((Diário!$E$4:$E$2662='Analítico Cp.'!$B11)*(Diário!$C$4:$C$2662&gt;=E$4)*(Diário!$C$4:$C$2662&lt;=EOMONTH(E$4,0))*(Diário!$F$4:$F$2662))
+SUMPRODUCT(('Comp.'!$D$5:$D$402=$B11)*('Comp.'!$B$5:$B$402&gt;=E$4)*('Comp.'!$B$5:$B$402&lt;=EOMONTH(E$4,0))*('Comp.'!$E$5:$E$402))</f>
        <v>398806.79999999993</v>
      </c>
      <c r="F11" s="11">
        <f>SUMPRODUCT((Diário!$E$4:$E$2662='Analítico Cp.'!$B11)*(Diário!$C$4:$C$2662&gt;=F$4)*(Diário!$C$4:$C$2662&lt;=EOMONTH(F$4,0))*(Diário!$F$4:$F$2662))
+SUMPRODUCT(('Comp.'!$D$5:$D$402=$B11)*('Comp.'!$B$5:$B$402&gt;=F$4)*('Comp.'!$B$5:$B$402&lt;=EOMONTH(F$4,0))*('Comp.'!$E$5:$E$402))</f>
        <v>707812.46999999986</v>
      </c>
      <c r="G11" s="11">
        <f>SUMPRODUCT((Diário!$E$4:$E$2662='Analítico Cp.'!$B11)*(Diário!$C$4:$C$2662&gt;=G$4)*(Diário!$C$4:$C$2662&lt;=EOMONTH(G$4,0))*(Diário!$F$4:$F$2662))
+SUMPRODUCT(('Comp.'!$D$5:$D$402=$B11)*('Comp.'!$B$5:$B$402&gt;=G$4)*('Comp.'!$B$5:$B$402&lt;=EOMONTH(G$4,0))*('Comp.'!$E$5:$E$402))</f>
        <v>682675.84</v>
      </c>
      <c r="H11" s="11">
        <f>SUMPRODUCT((Diário!$E$4:$E$2662='Analítico Cp.'!$B11)*(Diário!$C$4:$C$2662&gt;=H$4)*(Diário!$C$4:$C$2662&lt;=EOMONTH(H$4,0))*(Diário!$F$4:$F$2662))
+SUMPRODUCT(('Comp.'!$D$5:$D$402=$B11)*('Comp.'!$B$5:$B$402&gt;=H$4)*('Comp.'!$B$5:$B$402&lt;=EOMONTH(H$4,0))*('Comp.'!$E$5:$E$402))</f>
        <v>178354.15</v>
      </c>
      <c r="I11" s="11">
        <f>SUMPRODUCT((Diário!$E$4:$E$2662='Analítico Cp.'!$B11)*(Diário!$C$4:$C$2662&gt;=I$4)*(Diário!$C$4:$C$2662&lt;=EOMONTH(I$4,0))*(Diário!$F$4:$F$2662))
+SUMPRODUCT(('Comp.'!$D$5:$D$402=$B11)*('Comp.'!$B$5:$B$402&gt;=I$4)*('Comp.'!$B$5:$B$402&lt;=EOMONTH(I$4,0))*('Comp.'!$E$5:$E$402))</f>
        <v>0</v>
      </c>
      <c r="J11" s="11">
        <f>SUMPRODUCT((Diário!$E$4:$E$2662='Analítico Cp.'!$B11)*(Diário!$C$4:$C$2662&gt;=J$4)*(Diário!$C$4:$C$2662&lt;=EOMONTH(J$4,0))*(Diário!$F$4:$F$2662))
+SUMPRODUCT(('Comp.'!$D$5:$D$402=$B11)*('Comp.'!$B$5:$B$402&gt;=J$4)*('Comp.'!$B$5:$B$402&lt;=EOMONTH(J$4,0))*('Comp.'!$E$5:$E$402))</f>
        <v>0</v>
      </c>
      <c r="K11" s="11">
        <f>SUMPRODUCT((Diário!$E$4:$E$2662='Analítico Cp.'!$B11)*(Diário!$C$4:$C$2662&gt;=K$4)*(Diário!$C$4:$C$2662&lt;=EOMONTH(K$4,0))*(Diário!$F$4:$F$2662))
+SUMPRODUCT(('Comp.'!$D$5:$D$402=$B11)*('Comp.'!$B$5:$B$402&gt;=K$4)*('Comp.'!$B$5:$B$402&lt;=EOMONTH(K$4,0))*('Comp.'!$E$5:$E$402))</f>
        <v>0</v>
      </c>
      <c r="L11" s="11">
        <f>SUMPRODUCT((Diário!$E$4:$E$2662='Analítico Cp.'!$B11)*(Diário!$C$4:$C$2662&gt;=L$4)*(Diário!$C$4:$C$2662&lt;=EOMONTH(L$4,0))*(Diário!$F$4:$F$2662))
+SUMPRODUCT(('Comp.'!$D$5:$D$402=$B11)*('Comp.'!$B$5:$B$402&gt;=L$4)*('Comp.'!$B$5:$B$402&lt;=EOMONTH(L$4,0))*('Comp.'!$E$5:$E$402))</f>
        <v>0</v>
      </c>
      <c r="M11" s="11">
        <f>SUMPRODUCT((Diário!$E$4:$E$2662='Analítico Cp.'!$B11)*(Diário!$C$4:$C$2662&gt;=M$4)*(Diário!$C$4:$C$2662&lt;=EOMONTH(M$4,0))*(Diário!$F$4:$F$2662))
+SUMPRODUCT(('Comp.'!$D$5:$D$402=$B11)*('Comp.'!$B$5:$B$402&gt;=M$4)*('Comp.'!$B$5:$B$402&lt;=EOMONTH(M$4,0))*('Comp.'!$E$5:$E$402))</f>
        <v>0</v>
      </c>
      <c r="N11" s="11">
        <f>SUMPRODUCT((Diário!$E$4:$E$2662='Analítico Cp.'!$B11)*(Diário!$C$4:$C$2662&gt;=N$4)*(Diário!$C$4:$C$2662&lt;=EOMONTH(N$4,0))*(Diário!$F$4:$F$2662))
+SUMPRODUCT(('Comp.'!$D$5:$D$402=$B11)*('Comp.'!$B$5:$B$402&gt;=N$4)*('Comp.'!$B$5:$B$402&lt;=EOMONTH(N$4,0))*('Comp.'!$E$5:$E$402))</f>
        <v>0</v>
      </c>
      <c r="O11" s="12">
        <f>SUM(C11:N11)</f>
        <v>2632357.2099999995</v>
      </c>
      <c r="P11" s="95">
        <f>IF($O$13=0,0,O11/$O$13)</f>
        <v>0.15544025419512381</v>
      </c>
    </row>
    <row r="12" spans="1:16" ht="23.25" customHeight="1" thickBot="1">
      <c r="A12" s="17"/>
      <c r="B12" s="18" t="s">
        <v>354</v>
      </c>
      <c r="C12" s="13">
        <f>SUBTOTAL(109,C10:C11)</f>
        <v>561935.8600000001</v>
      </c>
      <c r="D12" s="13">
        <f>SUBTOTAL(109,D10:D11)</f>
        <v>380849.34</v>
      </c>
      <c r="E12" s="13">
        <f>SUBTOTAL(109,E10:E11)</f>
        <v>522938.70999999996</v>
      </c>
      <c r="F12" s="13">
        <f t="shared" ref="F12:N12" si="0">SUBTOTAL(109,F10:F11)</f>
        <v>816371.59999999986</v>
      </c>
      <c r="G12" s="13">
        <f t="shared" si="0"/>
        <v>752454.09</v>
      </c>
      <c r="H12" s="13">
        <f t="shared" si="0"/>
        <v>287450.48</v>
      </c>
      <c r="I12" s="13">
        <f t="shared" si="0"/>
        <v>0</v>
      </c>
      <c r="J12" s="13">
        <f t="shared" si="0"/>
        <v>0</v>
      </c>
      <c r="K12" s="13">
        <f t="shared" si="0"/>
        <v>0</v>
      </c>
      <c r="L12" s="13">
        <f t="shared" si="0"/>
        <v>0</v>
      </c>
      <c r="M12" s="13">
        <f t="shared" si="0"/>
        <v>0</v>
      </c>
      <c r="N12" s="13">
        <f t="shared" si="0"/>
        <v>0</v>
      </c>
      <c r="O12" s="13">
        <f>SUBTOTAL(109,O10:O11)</f>
        <v>3322000.0799999996</v>
      </c>
      <c r="P12" s="96">
        <f>IF($O$13=0,0,O12/$O$13)</f>
        <v>0.19616355064190608</v>
      </c>
    </row>
    <row r="13" spans="1:16" ht="23.25" customHeight="1" thickBot="1">
      <c r="A13" s="198" t="s">
        <v>243</v>
      </c>
      <c r="B13" s="199"/>
      <c r="C13" s="246">
        <f t="shared" ref="C13:O13" si="1">SUBTOTAL(109,C6:C11)</f>
        <v>604117.58000000007</v>
      </c>
      <c r="D13" s="246">
        <f t="shared" si="1"/>
        <v>-994296.74999999977</v>
      </c>
      <c r="E13" s="246">
        <f t="shared" si="1"/>
        <v>4120002.8200000003</v>
      </c>
      <c r="F13" s="246">
        <f t="shared" si="1"/>
        <v>4173541.6199999992</v>
      </c>
      <c r="G13" s="246">
        <f t="shared" si="1"/>
        <v>2789469.84</v>
      </c>
      <c r="H13" s="246">
        <f t="shared" si="1"/>
        <v>6242013.7400000002</v>
      </c>
      <c r="I13" s="246">
        <f t="shared" si="1"/>
        <v>0</v>
      </c>
      <c r="J13" s="246">
        <f t="shared" si="1"/>
        <v>0</v>
      </c>
      <c r="K13" s="246">
        <f t="shared" si="1"/>
        <v>0</v>
      </c>
      <c r="L13" s="246">
        <f t="shared" si="1"/>
        <v>0</v>
      </c>
      <c r="M13" s="246">
        <f t="shared" si="1"/>
        <v>0</v>
      </c>
      <c r="N13" s="246">
        <f t="shared" si="1"/>
        <v>0</v>
      </c>
      <c r="O13" s="246">
        <f t="shared" si="1"/>
        <v>16934848.849999998</v>
      </c>
      <c r="P13" s="201">
        <f>IF($O$13=0,0,O13/$O$13)</f>
        <v>1</v>
      </c>
    </row>
    <row r="14" spans="1:16" ht="23.25" customHeight="1" thickBot="1">
      <c r="A14" s="19"/>
      <c r="B14" s="16"/>
      <c r="C14" s="20"/>
      <c r="D14" s="20"/>
      <c r="E14" s="20"/>
      <c r="F14" s="20"/>
      <c r="G14" s="20"/>
      <c r="H14" s="20"/>
      <c r="I14" s="20"/>
      <c r="J14" s="20"/>
      <c r="K14" s="20"/>
      <c r="L14" s="20"/>
      <c r="M14" s="20"/>
      <c r="N14" s="20"/>
      <c r="O14" s="20"/>
    </row>
    <row r="15" spans="1:16" ht="23.25" customHeight="1" thickBot="1">
      <c r="A15" s="213">
        <v>2</v>
      </c>
      <c r="B15" s="214" t="s">
        <v>144</v>
      </c>
      <c r="C15" s="196"/>
      <c r="D15" s="196"/>
      <c r="E15" s="196"/>
      <c r="F15" s="196"/>
      <c r="G15" s="196"/>
      <c r="H15" s="196"/>
      <c r="I15" s="196"/>
      <c r="J15" s="196"/>
      <c r="K15" s="196"/>
      <c r="L15" s="196"/>
      <c r="M15" s="196"/>
      <c r="N15" s="196"/>
      <c r="O15" s="196"/>
      <c r="P15" s="196"/>
    </row>
    <row r="16" spans="1:16" ht="23.25" customHeight="1">
      <c r="A16" s="206" t="s">
        <v>38</v>
      </c>
      <c r="B16" s="215" t="s">
        <v>166</v>
      </c>
      <c r="C16" s="216"/>
      <c r="D16" s="216"/>
      <c r="E16" s="216"/>
      <c r="F16" s="216"/>
      <c r="G16" s="216"/>
      <c r="H16" s="216"/>
      <c r="I16" s="216"/>
      <c r="J16" s="216"/>
      <c r="K16" s="216"/>
      <c r="L16" s="216"/>
      <c r="M16" s="216"/>
      <c r="N16" s="216"/>
      <c r="O16" s="216"/>
      <c r="P16" s="217"/>
    </row>
    <row r="17" spans="1:16" ht="23.25" customHeight="1">
      <c r="A17" s="218" t="s">
        <v>11</v>
      </c>
      <c r="B17" s="219" t="s">
        <v>81</v>
      </c>
      <c r="C17" s="240"/>
      <c r="D17" s="240"/>
      <c r="E17" s="240"/>
      <c r="F17" s="240"/>
      <c r="G17" s="240"/>
      <c r="H17" s="240"/>
      <c r="I17" s="240"/>
      <c r="J17" s="240"/>
      <c r="K17" s="240"/>
      <c r="L17" s="240"/>
      <c r="M17" s="240"/>
      <c r="N17" s="240"/>
      <c r="O17" s="240"/>
      <c r="P17" s="220"/>
    </row>
    <row r="18" spans="1:16" ht="23.25" customHeight="1">
      <c r="A18" s="40" t="s">
        <v>88</v>
      </c>
      <c r="B18" s="39" t="s">
        <v>1</v>
      </c>
      <c r="C18" s="11">
        <f>SUMPRODUCT((Diário!$E$4:$E$2662='Analítico Cp.'!$B18)*(Diário!$C$4:$C$2662&gt;=C$4)*(Diário!$C$4:$C$2662&lt;=EOMONTH(C$4,0))*(Diário!$F$4:$F$2662))
+SUMPRODUCT(('Comp.'!$D$5:$D$402=$B18)*('Comp.'!$B$5:$B$402&gt;=C$4)*('Comp.'!$B$5:$B$402&lt;=EOMONTH(C$4,0))*('Comp.'!$E$5:$E$402))</f>
        <v>486210.02999999997</v>
      </c>
      <c r="D18" s="11">
        <f>SUMPRODUCT((Diário!$E$4:$E$2662='Analítico Cp.'!$B18)*(Diário!$C$4:$C$2662&gt;=D$4)*(Diário!$C$4:$C$2662&lt;=EOMONTH(D$4,0))*(Diário!$F$4:$F$2662))
+SUMPRODUCT(('Comp.'!$D$5:$D$402=$B18)*('Comp.'!$B$5:$B$402&gt;=D$4)*('Comp.'!$B$5:$B$402&lt;=EOMONTH(D$4,0))*('Comp.'!$E$5:$E$402))</f>
        <v>1149266.8799999999</v>
      </c>
      <c r="E18" s="11">
        <f>SUMPRODUCT((Diário!$E$4:$E$2662='Analítico Cp.'!$B18)*(Diário!$C$4:$C$2662&gt;=E$4)*(Diário!$C$4:$C$2662&lt;=EOMONTH(E$4,0))*(Diário!$F$4:$F$2662))
+SUMPRODUCT(('Comp.'!$D$5:$D$402=$B18)*('Comp.'!$B$5:$B$402&gt;=E$4)*('Comp.'!$B$5:$B$402&lt;=EOMONTH(E$4,0))*('Comp.'!$E$5:$E$402))</f>
        <v>1281365.2100000004</v>
      </c>
      <c r="F18" s="11">
        <f>SUMPRODUCT((Diário!$E$4:$E$2662='Analítico Cp.'!$B18)*(Diário!$C$4:$C$2662&gt;=F$4)*(Diário!$C$4:$C$2662&lt;=EOMONTH(F$4,0))*(Diário!$F$4:$F$2662))
+SUMPRODUCT(('Comp.'!$D$5:$D$402=$B18)*('Comp.'!$B$5:$B$402&gt;=F$4)*('Comp.'!$B$5:$B$402&lt;=EOMONTH(F$4,0))*('Comp.'!$E$5:$E$402))</f>
        <v>1277251.48</v>
      </c>
      <c r="G18" s="11">
        <f>SUMPRODUCT((Diário!$E$4:$E$2662='Analítico Cp.'!$B18)*(Diário!$C$4:$C$2662&gt;=G$4)*(Diário!$C$4:$C$2662&lt;=EOMONTH(G$4,0))*(Diário!$F$4:$F$2662))
+SUMPRODUCT(('Comp.'!$D$5:$D$402=$B18)*('Comp.'!$B$5:$B$402&gt;=G$4)*('Comp.'!$B$5:$B$402&lt;=EOMONTH(G$4,0))*('Comp.'!$E$5:$E$402))</f>
        <v>1299802.8500000001</v>
      </c>
      <c r="H18" s="11">
        <f>SUMPRODUCT((Diário!$E$4:$E$2662='Analítico Cp.'!$B18)*(Diário!$C$4:$C$2662&gt;=H$4)*(Diário!$C$4:$C$2662&lt;=EOMONTH(H$4,0))*(Diário!$F$4:$F$2662))
+SUMPRODUCT(('Comp.'!$D$5:$D$402=$B18)*('Comp.'!$B$5:$B$402&gt;=H$4)*('Comp.'!$B$5:$B$402&lt;=EOMONTH(H$4,0))*('Comp.'!$E$5:$E$402))</f>
        <v>1416252.31</v>
      </c>
      <c r="I18" s="11">
        <f>SUMPRODUCT((Diário!$E$4:$E$2662='Analítico Cp.'!$B18)*(Diário!$C$4:$C$2662&gt;=I$4)*(Diário!$C$4:$C$2662&lt;=EOMONTH(I$4,0))*(Diário!$F$4:$F$2662))
+SUMPRODUCT(('Comp.'!$D$5:$D$402=$B18)*('Comp.'!$B$5:$B$402&gt;=I$4)*('Comp.'!$B$5:$B$402&lt;=EOMONTH(I$4,0))*('Comp.'!$E$5:$E$402))</f>
        <v>0</v>
      </c>
      <c r="J18" s="11">
        <f>SUMPRODUCT((Diário!$E$4:$E$2662='Analítico Cp.'!$B18)*(Diário!$C$4:$C$2662&gt;=J$4)*(Diário!$C$4:$C$2662&lt;=EOMONTH(J$4,0))*(Diário!$F$4:$F$2662))
+SUMPRODUCT(('Comp.'!$D$5:$D$402=$B18)*('Comp.'!$B$5:$B$402&gt;=J$4)*('Comp.'!$B$5:$B$402&lt;=EOMONTH(J$4,0))*('Comp.'!$E$5:$E$402))</f>
        <v>0</v>
      </c>
      <c r="K18" s="11">
        <f>SUMPRODUCT((Diário!$E$4:$E$2662='Analítico Cp.'!$B18)*(Diário!$C$4:$C$2662&gt;=K$4)*(Diário!$C$4:$C$2662&lt;=EOMONTH(K$4,0))*(Diário!$F$4:$F$2662))
+SUMPRODUCT(('Comp.'!$D$5:$D$402=$B18)*('Comp.'!$B$5:$B$402&gt;=K$4)*('Comp.'!$B$5:$B$402&lt;=EOMONTH(K$4,0))*('Comp.'!$E$5:$E$402))</f>
        <v>0</v>
      </c>
      <c r="L18" s="11">
        <f>SUMPRODUCT((Diário!$E$4:$E$2662='Analítico Cp.'!$B18)*(Diário!$C$4:$C$2662&gt;=L$4)*(Diário!$C$4:$C$2662&lt;=EOMONTH(L$4,0))*(Diário!$F$4:$F$2662))
+SUMPRODUCT(('Comp.'!$D$5:$D$402=$B18)*('Comp.'!$B$5:$B$402&gt;=L$4)*('Comp.'!$B$5:$B$402&lt;=EOMONTH(L$4,0))*('Comp.'!$E$5:$E$402))</f>
        <v>0</v>
      </c>
      <c r="M18" s="11">
        <f>SUMPRODUCT((Diário!$E$4:$E$2662='Analítico Cp.'!$B18)*(Diário!$C$4:$C$2662&gt;=M$4)*(Diário!$C$4:$C$2662&lt;=EOMONTH(M$4,0))*(Diário!$F$4:$F$2662))
+SUMPRODUCT(('Comp.'!$D$5:$D$402=$B18)*('Comp.'!$B$5:$B$402&gt;=M$4)*('Comp.'!$B$5:$B$402&lt;=EOMONTH(M$4,0))*('Comp.'!$E$5:$E$402))</f>
        <v>0</v>
      </c>
      <c r="N18" s="11">
        <f>SUMPRODUCT((Diário!$E$4:$E$2662='Analítico Cp.'!$B18)*(Diário!$C$4:$C$2662&gt;=N$4)*(Diário!$C$4:$C$2662&lt;=EOMONTH(N$4,0))*(Diário!$F$4:$F$2662))
+SUMPRODUCT(('Comp.'!$D$5:$D$402=$B18)*('Comp.'!$B$5:$B$402&gt;=N$4)*('Comp.'!$B$5:$B$402&lt;=EOMONTH(N$4,0))*('Comp.'!$E$5:$E$402))</f>
        <v>0</v>
      </c>
      <c r="O18" s="12">
        <f>SUM(C18:N18)</f>
        <v>6910148.7599999998</v>
      </c>
      <c r="P18" s="95">
        <f t="shared" ref="P18:P26" si="2">IF($O$189=0,0,O18/$O$189)</f>
        <v>0.34606615991008066</v>
      </c>
    </row>
    <row r="19" spans="1:16" ht="23.25" customHeight="1">
      <c r="A19" s="40" t="s">
        <v>89</v>
      </c>
      <c r="B19" s="38" t="s">
        <v>155</v>
      </c>
      <c r="C19" s="11">
        <f>SUMPRODUCT((Diário!$E$4:$E$2662='Analítico Cp.'!$B19)*(Diário!$C$4:$C$2662&gt;=C$4)*(Diário!$C$4:$C$2662&lt;=EOMONTH(C$4,0))*(Diário!$F$4:$F$2662))
+SUMPRODUCT(('Comp.'!$D$5:$D$402=$B19)*('Comp.'!$B$5:$B$402&gt;=C$4)*('Comp.'!$B$5:$B$402&lt;=EOMONTH(C$4,0))*('Comp.'!$E$5:$E$402))</f>
        <v>0</v>
      </c>
      <c r="D19" s="11">
        <f>SUMPRODUCT((Diário!$E$4:$E$2662='Analítico Cp.'!$B19)*(Diário!$C$4:$C$2662&gt;=D$4)*(Diário!$C$4:$C$2662&lt;=EOMONTH(D$4,0))*(Diário!$F$4:$F$2662))
+SUMPRODUCT(('Comp.'!$D$5:$D$402=$B19)*('Comp.'!$B$5:$B$402&gt;=D$4)*('Comp.'!$B$5:$B$402&lt;=EOMONTH(D$4,0))*('Comp.'!$E$5:$E$402))</f>
        <v>0</v>
      </c>
      <c r="E19" s="11">
        <f>SUMPRODUCT((Diário!$E$4:$E$2662='Analítico Cp.'!$B19)*(Diário!$C$4:$C$2662&gt;=E$4)*(Diário!$C$4:$C$2662&lt;=EOMONTH(E$4,0))*(Diário!$F$4:$F$2662))
+SUMPRODUCT(('Comp.'!$D$5:$D$402=$B19)*('Comp.'!$B$5:$B$402&gt;=E$4)*('Comp.'!$B$5:$B$402&lt;=EOMONTH(E$4,0))*('Comp.'!$E$5:$E$402))</f>
        <v>0</v>
      </c>
      <c r="F19" s="11">
        <f>SUMPRODUCT((Diário!$E$4:$E$2662='Analítico Cp.'!$B19)*(Diário!$C$4:$C$2662&gt;=F$4)*(Diário!$C$4:$C$2662&lt;=EOMONTH(F$4,0))*(Diário!$F$4:$F$2662))
+SUMPRODUCT(('Comp.'!$D$5:$D$402=$B19)*('Comp.'!$B$5:$B$402&gt;=F$4)*('Comp.'!$B$5:$B$402&lt;=EOMONTH(F$4,0))*('Comp.'!$E$5:$E$402))</f>
        <v>0</v>
      </c>
      <c r="G19" s="11">
        <f>SUMPRODUCT((Diário!$E$4:$E$2662='Analítico Cp.'!$B19)*(Diário!$C$4:$C$2662&gt;=G$4)*(Diário!$C$4:$C$2662&lt;=EOMONTH(G$4,0))*(Diário!$F$4:$F$2662))
+SUMPRODUCT(('Comp.'!$D$5:$D$402=$B19)*('Comp.'!$B$5:$B$402&gt;=G$4)*('Comp.'!$B$5:$B$402&lt;=EOMONTH(G$4,0))*('Comp.'!$E$5:$E$402))</f>
        <v>0</v>
      </c>
      <c r="H19" s="11">
        <f>SUMPRODUCT((Diário!$E$4:$E$2662='Analítico Cp.'!$B19)*(Diário!$C$4:$C$2662&gt;=H$4)*(Diário!$C$4:$C$2662&lt;=EOMONTH(H$4,0))*(Diário!$F$4:$F$2662))
+SUMPRODUCT(('Comp.'!$D$5:$D$402=$B19)*('Comp.'!$B$5:$B$402&gt;=H$4)*('Comp.'!$B$5:$B$402&lt;=EOMONTH(H$4,0))*('Comp.'!$E$5:$E$402))</f>
        <v>0</v>
      </c>
      <c r="I19" s="11">
        <f>SUMPRODUCT((Diário!$E$4:$E$2662='Analítico Cp.'!$B19)*(Diário!$C$4:$C$2662&gt;=I$4)*(Diário!$C$4:$C$2662&lt;=EOMONTH(I$4,0))*(Diário!$F$4:$F$2662))
+SUMPRODUCT(('Comp.'!$D$5:$D$402=$B19)*('Comp.'!$B$5:$B$402&gt;=I$4)*('Comp.'!$B$5:$B$402&lt;=EOMONTH(I$4,0))*('Comp.'!$E$5:$E$402))</f>
        <v>0</v>
      </c>
      <c r="J19" s="11">
        <f>SUMPRODUCT((Diário!$E$4:$E$2662='Analítico Cp.'!$B19)*(Diário!$C$4:$C$2662&gt;=J$4)*(Diário!$C$4:$C$2662&lt;=EOMONTH(J$4,0))*(Diário!$F$4:$F$2662))
+SUMPRODUCT(('Comp.'!$D$5:$D$402=$B19)*('Comp.'!$B$5:$B$402&gt;=J$4)*('Comp.'!$B$5:$B$402&lt;=EOMONTH(J$4,0))*('Comp.'!$E$5:$E$402))</f>
        <v>0</v>
      </c>
      <c r="K19" s="11">
        <f>SUMPRODUCT((Diário!$E$4:$E$2662='Analítico Cp.'!$B19)*(Diário!$C$4:$C$2662&gt;=K$4)*(Diário!$C$4:$C$2662&lt;=EOMONTH(K$4,0))*(Diário!$F$4:$F$2662))
+SUMPRODUCT(('Comp.'!$D$5:$D$402=$B19)*('Comp.'!$B$5:$B$402&gt;=K$4)*('Comp.'!$B$5:$B$402&lt;=EOMONTH(K$4,0))*('Comp.'!$E$5:$E$402))</f>
        <v>0</v>
      </c>
      <c r="L19" s="11">
        <f>SUMPRODUCT((Diário!$E$4:$E$2662='Analítico Cp.'!$B19)*(Diário!$C$4:$C$2662&gt;=L$4)*(Diário!$C$4:$C$2662&lt;=EOMONTH(L$4,0))*(Diário!$F$4:$F$2662))
+SUMPRODUCT(('Comp.'!$D$5:$D$402=$B19)*('Comp.'!$B$5:$B$402&gt;=L$4)*('Comp.'!$B$5:$B$402&lt;=EOMONTH(L$4,0))*('Comp.'!$E$5:$E$402))</f>
        <v>0</v>
      </c>
      <c r="M19" s="11">
        <f>SUMPRODUCT((Diário!$E$4:$E$2662='Analítico Cp.'!$B19)*(Diário!$C$4:$C$2662&gt;=M$4)*(Diário!$C$4:$C$2662&lt;=EOMONTH(M$4,0))*(Diário!$F$4:$F$2662))
+SUMPRODUCT(('Comp.'!$D$5:$D$402=$B19)*('Comp.'!$B$5:$B$402&gt;=M$4)*('Comp.'!$B$5:$B$402&lt;=EOMONTH(M$4,0))*('Comp.'!$E$5:$E$402))</f>
        <v>0</v>
      </c>
      <c r="N19" s="11">
        <f>SUMPRODUCT((Diário!$E$4:$E$2662='Analítico Cp.'!$B19)*(Diário!$C$4:$C$2662&gt;=N$4)*(Diário!$C$4:$C$2662&lt;=EOMONTH(N$4,0))*(Diário!$F$4:$F$2662))
+SUMPRODUCT(('Comp.'!$D$5:$D$402=$B19)*('Comp.'!$B$5:$B$402&gt;=N$4)*('Comp.'!$B$5:$B$402&lt;=EOMONTH(N$4,0))*('Comp.'!$E$5:$E$402))</f>
        <v>0</v>
      </c>
      <c r="O19" s="12">
        <f>SUM(C19:N19)</f>
        <v>0</v>
      </c>
      <c r="P19" s="95">
        <f t="shared" si="2"/>
        <v>0</v>
      </c>
    </row>
    <row r="20" spans="1:16" ht="23.25" customHeight="1">
      <c r="A20" s="40" t="s">
        <v>90</v>
      </c>
      <c r="B20" s="38" t="s">
        <v>340</v>
      </c>
      <c r="C20" s="11">
        <f>SUMPRODUCT((Diário!$E$4:$E$2662='Analítico Cp.'!$B20)*(Diário!$C$4:$C$2662&gt;=C$4)*(Diário!$C$4:$C$2662&lt;=EOMONTH(C$4,0))*(Diário!$F$4:$F$2662))
+SUMPRODUCT(('Comp.'!$D$5:$D$402=$B20)*('Comp.'!$B$5:$B$402&gt;=C$4)*('Comp.'!$B$5:$B$402&lt;=EOMONTH(C$4,0))*('Comp.'!$E$5:$E$402))</f>
        <v>0</v>
      </c>
      <c r="D20" s="11">
        <f>SUMPRODUCT((Diário!$E$4:$E$2662='Analítico Cp.'!$B20)*(Diário!$C$4:$C$2662&gt;=D$4)*(Diário!$C$4:$C$2662&lt;=EOMONTH(D$4,0))*(Diário!$F$4:$F$2662))
+SUMPRODUCT(('Comp.'!$D$5:$D$402=$B20)*('Comp.'!$B$5:$B$402&gt;=D$4)*('Comp.'!$B$5:$B$402&lt;=EOMONTH(D$4,0))*('Comp.'!$E$5:$E$402))</f>
        <v>0</v>
      </c>
      <c r="E20" s="11">
        <f>SUMPRODUCT((Diário!$E$4:$E$2662='Analítico Cp.'!$B20)*(Diário!$C$4:$C$2662&gt;=E$4)*(Diário!$C$4:$C$2662&lt;=EOMONTH(E$4,0))*(Diário!$F$4:$F$2662))
+SUMPRODUCT(('Comp.'!$D$5:$D$402=$B20)*('Comp.'!$B$5:$B$402&gt;=E$4)*('Comp.'!$B$5:$B$402&lt;=EOMONTH(E$4,0))*('Comp.'!$E$5:$E$402))</f>
        <v>0</v>
      </c>
      <c r="F20" s="11">
        <f>SUMPRODUCT((Diário!$E$4:$E$2662='Analítico Cp.'!$B20)*(Diário!$C$4:$C$2662&gt;=F$4)*(Diário!$C$4:$C$2662&lt;=EOMONTH(F$4,0))*(Diário!$F$4:$F$2662))
+SUMPRODUCT(('Comp.'!$D$5:$D$402=$B20)*('Comp.'!$B$5:$B$402&gt;=F$4)*('Comp.'!$B$5:$B$402&lt;=EOMONTH(F$4,0))*('Comp.'!$E$5:$E$402))</f>
        <v>0</v>
      </c>
      <c r="G20" s="11">
        <f>SUMPRODUCT((Diário!$E$4:$E$2662='Analítico Cp.'!$B20)*(Diário!$C$4:$C$2662&gt;=G$4)*(Diário!$C$4:$C$2662&lt;=EOMONTH(G$4,0))*(Diário!$F$4:$F$2662))
+SUMPRODUCT(('Comp.'!$D$5:$D$402=$B20)*('Comp.'!$B$5:$B$402&gt;=G$4)*('Comp.'!$B$5:$B$402&lt;=EOMONTH(G$4,0))*('Comp.'!$E$5:$E$402))</f>
        <v>0</v>
      </c>
      <c r="H20" s="11">
        <f>SUMPRODUCT((Diário!$E$4:$E$2662='Analítico Cp.'!$B20)*(Diário!$C$4:$C$2662&gt;=H$4)*(Diário!$C$4:$C$2662&lt;=EOMONTH(H$4,0))*(Diário!$F$4:$F$2662))
+SUMPRODUCT(('Comp.'!$D$5:$D$402=$B20)*('Comp.'!$B$5:$B$402&gt;=H$4)*('Comp.'!$B$5:$B$402&lt;=EOMONTH(H$4,0))*('Comp.'!$E$5:$E$402))</f>
        <v>0</v>
      </c>
      <c r="I20" s="11">
        <f>SUMPRODUCT((Diário!$E$4:$E$2662='Analítico Cp.'!$B20)*(Diário!$C$4:$C$2662&gt;=I$4)*(Diário!$C$4:$C$2662&lt;=EOMONTH(I$4,0))*(Diário!$F$4:$F$2662))
+SUMPRODUCT(('Comp.'!$D$5:$D$402=$B20)*('Comp.'!$B$5:$B$402&gt;=I$4)*('Comp.'!$B$5:$B$402&lt;=EOMONTH(I$4,0))*('Comp.'!$E$5:$E$402))</f>
        <v>0</v>
      </c>
      <c r="J20" s="11">
        <f>SUMPRODUCT((Diário!$E$4:$E$2662='Analítico Cp.'!$B20)*(Diário!$C$4:$C$2662&gt;=J$4)*(Diário!$C$4:$C$2662&lt;=EOMONTH(J$4,0))*(Diário!$F$4:$F$2662))
+SUMPRODUCT(('Comp.'!$D$5:$D$402=$B20)*('Comp.'!$B$5:$B$402&gt;=J$4)*('Comp.'!$B$5:$B$402&lt;=EOMONTH(J$4,0))*('Comp.'!$E$5:$E$402))</f>
        <v>0</v>
      </c>
      <c r="K20" s="11">
        <f>SUMPRODUCT((Diário!$E$4:$E$2662='Analítico Cp.'!$B20)*(Diário!$C$4:$C$2662&gt;=K$4)*(Diário!$C$4:$C$2662&lt;=EOMONTH(K$4,0))*(Diário!$F$4:$F$2662))
+SUMPRODUCT(('Comp.'!$D$5:$D$402=$B20)*('Comp.'!$B$5:$B$402&gt;=K$4)*('Comp.'!$B$5:$B$402&lt;=EOMONTH(K$4,0))*('Comp.'!$E$5:$E$402))</f>
        <v>0</v>
      </c>
      <c r="L20" s="11">
        <f>SUMPRODUCT((Diário!$E$4:$E$2662='Analítico Cp.'!$B20)*(Diário!$C$4:$C$2662&gt;=L$4)*(Diário!$C$4:$C$2662&lt;=EOMONTH(L$4,0))*(Diário!$F$4:$F$2662))
+SUMPRODUCT(('Comp.'!$D$5:$D$402=$B20)*('Comp.'!$B$5:$B$402&gt;=L$4)*('Comp.'!$B$5:$B$402&lt;=EOMONTH(L$4,0))*('Comp.'!$E$5:$E$402))</f>
        <v>0</v>
      </c>
      <c r="M20" s="11">
        <f>SUMPRODUCT((Diário!$E$4:$E$2662='Analítico Cp.'!$B20)*(Diário!$C$4:$C$2662&gt;=M$4)*(Diário!$C$4:$C$2662&lt;=EOMONTH(M$4,0))*(Diário!$F$4:$F$2662))
+SUMPRODUCT(('Comp.'!$D$5:$D$402=$B20)*('Comp.'!$B$5:$B$402&gt;=M$4)*('Comp.'!$B$5:$B$402&lt;=EOMONTH(M$4,0))*('Comp.'!$E$5:$E$402))</f>
        <v>0</v>
      </c>
      <c r="N20" s="11">
        <f>SUMPRODUCT((Diário!$E$4:$E$2662='Analítico Cp.'!$B20)*(Diário!$C$4:$C$2662&gt;=N$4)*(Diário!$C$4:$C$2662&lt;=EOMONTH(N$4,0))*(Diário!$F$4:$F$2662))
+SUMPRODUCT(('Comp.'!$D$5:$D$402=$B20)*('Comp.'!$B$5:$B$402&gt;=N$4)*('Comp.'!$B$5:$B$402&lt;=EOMONTH(N$4,0))*('Comp.'!$E$5:$E$402))</f>
        <v>0</v>
      </c>
      <c r="O20" s="12">
        <f>SUM(C20:N20)</f>
        <v>0</v>
      </c>
      <c r="P20" s="95">
        <f t="shared" si="2"/>
        <v>0</v>
      </c>
    </row>
    <row r="21" spans="1:16" ht="23.25" customHeight="1">
      <c r="A21" s="40" t="s">
        <v>91</v>
      </c>
      <c r="B21" s="38" t="s">
        <v>341</v>
      </c>
      <c r="C21" s="11">
        <f>SUMPRODUCT((Diário!$E$4:$E$2662='Analítico Cp.'!$B21)*(Diário!$C$4:$C$2662&gt;=C$4)*(Diário!$C$4:$C$2662&lt;=EOMONTH(C$4,0))*(Diário!$F$4:$F$2662))
+SUMPRODUCT(('Comp.'!$D$5:$D$402=$B21)*('Comp.'!$B$5:$B$402&gt;=C$4)*('Comp.'!$B$5:$B$402&lt;=EOMONTH(C$4,0))*('Comp.'!$E$5:$E$402))</f>
        <v>0</v>
      </c>
      <c r="D21" s="11">
        <f>SUMPRODUCT((Diário!$E$4:$E$2662='Analítico Cp.'!$B21)*(Diário!$C$4:$C$2662&gt;=D$4)*(Diário!$C$4:$C$2662&lt;=EOMONTH(D$4,0))*(Diário!$F$4:$F$2662))
+SUMPRODUCT(('Comp.'!$D$5:$D$402=$B21)*('Comp.'!$B$5:$B$402&gt;=D$4)*('Comp.'!$B$5:$B$402&lt;=EOMONTH(D$4,0))*('Comp.'!$E$5:$E$402))</f>
        <v>0</v>
      </c>
      <c r="E21" s="11">
        <f>SUMPRODUCT((Diário!$E$4:$E$2662='Analítico Cp.'!$B21)*(Diário!$C$4:$C$2662&gt;=E$4)*(Diário!$C$4:$C$2662&lt;=EOMONTH(E$4,0))*(Diário!$F$4:$F$2662))
+SUMPRODUCT(('Comp.'!$D$5:$D$402=$B21)*('Comp.'!$B$5:$B$402&gt;=E$4)*('Comp.'!$B$5:$B$402&lt;=EOMONTH(E$4,0))*('Comp.'!$E$5:$E$402))</f>
        <v>0</v>
      </c>
      <c r="F21" s="11">
        <f>SUMPRODUCT((Diário!$E$4:$E$2662='Analítico Cp.'!$B21)*(Diário!$C$4:$C$2662&gt;=F$4)*(Diário!$C$4:$C$2662&lt;=EOMONTH(F$4,0))*(Diário!$F$4:$F$2662))
+SUMPRODUCT(('Comp.'!$D$5:$D$402=$B21)*('Comp.'!$B$5:$B$402&gt;=F$4)*('Comp.'!$B$5:$B$402&lt;=EOMONTH(F$4,0))*('Comp.'!$E$5:$E$402))</f>
        <v>0</v>
      </c>
      <c r="G21" s="11">
        <f>SUMPRODUCT((Diário!$E$4:$E$2662='Analítico Cp.'!$B21)*(Diário!$C$4:$C$2662&gt;=G$4)*(Diário!$C$4:$C$2662&lt;=EOMONTH(G$4,0))*(Diário!$F$4:$F$2662))
+SUMPRODUCT(('Comp.'!$D$5:$D$402=$B21)*('Comp.'!$B$5:$B$402&gt;=G$4)*('Comp.'!$B$5:$B$402&lt;=EOMONTH(G$4,0))*('Comp.'!$E$5:$E$402))</f>
        <v>0</v>
      </c>
      <c r="H21" s="11">
        <f>SUMPRODUCT((Diário!$E$4:$E$2662='Analítico Cp.'!$B21)*(Diário!$C$4:$C$2662&gt;=H$4)*(Diário!$C$4:$C$2662&lt;=EOMONTH(H$4,0))*(Diário!$F$4:$F$2662))
+SUMPRODUCT(('Comp.'!$D$5:$D$402=$B21)*('Comp.'!$B$5:$B$402&gt;=H$4)*('Comp.'!$B$5:$B$402&lt;=EOMONTH(H$4,0))*('Comp.'!$E$5:$E$402))</f>
        <v>0</v>
      </c>
      <c r="I21" s="11">
        <f>SUMPRODUCT((Diário!$E$4:$E$2662='Analítico Cp.'!$B21)*(Diário!$C$4:$C$2662&gt;=I$4)*(Diário!$C$4:$C$2662&lt;=EOMONTH(I$4,0))*(Diário!$F$4:$F$2662))
+SUMPRODUCT(('Comp.'!$D$5:$D$402=$B21)*('Comp.'!$B$5:$B$402&gt;=I$4)*('Comp.'!$B$5:$B$402&lt;=EOMONTH(I$4,0))*('Comp.'!$E$5:$E$402))</f>
        <v>0</v>
      </c>
      <c r="J21" s="11">
        <f>SUMPRODUCT((Diário!$E$4:$E$2662='Analítico Cp.'!$B21)*(Diário!$C$4:$C$2662&gt;=J$4)*(Diário!$C$4:$C$2662&lt;=EOMONTH(J$4,0))*(Diário!$F$4:$F$2662))
+SUMPRODUCT(('Comp.'!$D$5:$D$402=$B21)*('Comp.'!$B$5:$B$402&gt;=J$4)*('Comp.'!$B$5:$B$402&lt;=EOMONTH(J$4,0))*('Comp.'!$E$5:$E$402))</f>
        <v>0</v>
      </c>
      <c r="K21" s="11">
        <f>SUMPRODUCT((Diário!$E$4:$E$2662='Analítico Cp.'!$B21)*(Diário!$C$4:$C$2662&gt;=K$4)*(Diário!$C$4:$C$2662&lt;=EOMONTH(K$4,0))*(Diário!$F$4:$F$2662))
+SUMPRODUCT(('Comp.'!$D$5:$D$402=$B21)*('Comp.'!$B$5:$B$402&gt;=K$4)*('Comp.'!$B$5:$B$402&lt;=EOMONTH(K$4,0))*('Comp.'!$E$5:$E$402))</f>
        <v>0</v>
      </c>
      <c r="L21" s="11">
        <f>SUMPRODUCT((Diário!$E$4:$E$2662='Analítico Cp.'!$B21)*(Diário!$C$4:$C$2662&gt;=L$4)*(Diário!$C$4:$C$2662&lt;=EOMONTH(L$4,0))*(Diário!$F$4:$F$2662))
+SUMPRODUCT(('Comp.'!$D$5:$D$402=$B21)*('Comp.'!$B$5:$B$402&gt;=L$4)*('Comp.'!$B$5:$B$402&lt;=EOMONTH(L$4,0))*('Comp.'!$E$5:$E$402))</f>
        <v>0</v>
      </c>
      <c r="M21" s="11">
        <f>SUMPRODUCT((Diário!$E$4:$E$2662='Analítico Cp.'!$B21)*(Diário!$C$4:$C$2662&gt;=M$4)*(Diário!$C$4:$C$2662&lt;=EOMONTH(M$4,0))*(Diário!$F$4:$F$2662))
+SUMPRODUCT(('Comp.'!$D$5:$D$402=$B21)*('Comp.'!$B$5:$B$402&gt;=M$4)*('Comp.'!$B$5:$B$402&lt;=EOMONTH(M$4,0))*('Comp.'!$E$5:$E$402))</f>
        <v>0</v>
      </c>
      <c r="N21" s="11">
        <f>SUMPRODUCT((Diário!$E$4:$E$2662='Analítico Cp.'!$B21)*(Diário!$C$4:$C$2662&gt;=N$4)*(Diário!$C$4:$C$2662&lt;=EOMONTH(N$4,0))*(Diário!$F$4:$F$2662))
+SUMPRODUCT(('Comp.'!$D$5:$D$402=$B21)*('Comp.'!$B$5:$B$402&gt;=N$4)*('Comp.'!$B$5:$B$402&lt;=EOMONTH(N$4,0))*('Comp.'!$E$5:$E$402))</f>
        <v>0</v>
      </c>
      <c r="O21" s="12">
        <f t="shared" ref="O21:O25" si="3">SUM(C21:N21)</f>
        <v>0</v>
      </c>
      <c r="P21" s="95">
        <f t="shared" si="2"/>
        <v>0</v>
      </c>
    </row>
    <row r="22" spans="1:16" ht="23.25" customHeight="1">
      <c r="A22" s="40" t="s">
        <v>92</v>
      </c>
      <c r="B22" s="38" t="s">
        <v>342</v>
      </c>
      <c r="C22" s="11">
        <f>SUMPRODUCT((Diário!$E$4:$E$2662='Analítico Cp.'!$B22)*(Diário!$C$4:$C$2662&gt;=C$4)*(Diário!$C$4:$C$2662&lt;=EOMONTH(C$4,0))*(Diário!$F$4:$F$2662))
+SUMPRODUCT(('Comp.'!$D$5:$D$402=$B22)*('Comp.'!$B$5:$B$402&gt;=C$4)*('Comp.'!$B$5:$B$402&lt;=EOMONTH(C$4,0))*('Comp.'!$E$5:$E$402))</f>
        <v>0</v>
      </c>
      <c r="D22" s="11">
        <f>SUMPRODUCT((Diário!$E$4:$E$2662='Analítico Cp.'!$B22)*(Diário!$C$4:$C$2662&gt;=D$4)*(Diário!$C$4:$C$2662&lt;=EOMONTH(D$4,0))*(Diário!$F$4:$F$2662))
+SUMPRODUCT(('Comp.'!$D$5:$D$402=$B22)*('Comp.'!$B$5:$B$402&gt;=D$4)*('Comp.'!$B$5:$B$402&lt;=EOMONTH(D$4,0))*('Comp.'!$E$5:$E$402))</f>
        <v>0</v>
      </c>
      <c r="E22" s="11">
        <f>SUMPRODUCT((Diário!$E$4:$E$2662='Analítico Cp.'!$B22)*(Diário!$C$4:$C$2662&gt;=E$4)*(Diário!$C$4:$C$2662&lt;=EOMONTH(E$4,0))*(Diário!$F$4:$F$2662))
+SUMPRODUCT(('Comp.'!$D$5:$D$402=$B22)*('Comp.'!$B$5:$B$402&gt;=E$4)*('Comp.'!$B$5:$B$402&lt;=EOMONTH(E$4,0))*('Comp.'!$E$5:$E$402))</f>
        <v>0</v>
      </c>
      <c r="F22" s="11">
        <f>SUMPRODUCT((Diário!$E$4:$E$2662='Analítico Cp.'!$B22)*(Diário!$C$4:$C$2662&gt;=F$4)*(Diário!$C$4:$C$2662&lt;=EOMONTH(F$4,0))*(Diário!$F$4:$F$2662))
+SUMPRODUCT(('Comp.'!$D$5:$D$402=$B22)*('Comp.'!$B$5:$B$402&gt;=F$4)*('Comp.'!$B$5:$B$402&lt;=EOMONTH(F$4,0))*('Comp.'!$E$5:$E$402))</f>
        <v>0</v>
      </c>
      <c r="G22" s="11">
        <f>SUMPRODUCT((Diário!$E$4:$E$2662='Analítico Cp.'!$B22)*(Diário!$C$4:$C$2662&gt;=G$4)*(Diário!$C$4:$C$2662&lt;=EOMONTH(G$4,0))*(Diário!$F$4:$F$2662))
+SUMPRODUCT(('Comp.'!$D$5:$D$402=$B22)*('Comp.'!$B$5:$B$402&gt;=G$4)*('Comp.'!$B$5:$B$402&lt;=EOMONTH(G$4,0))*('Comp.'!$E$5:$E$402))</f>
        <v>0</v>
      </c>
      <c r="H22" s="11">
        <f>SUMPRODUCT((Diário!$E$4:$E$2662='Analítico Cp.'!$B22)*(Diário!$C$4:$C$2662&gt;=H$4)*(Diário!$C$4:$C$2662&lt;=EOMONTH(H$4,0))*(Diário!$F$4:$F$2662))
+SUMPRODUCT(('Comp.'!$D$5:$D$402=$B22)*('Comp.'!$B$5:$B$402&gt;=H$4)*('Comp.'!$B$5:$B$402&lt;=EOMONTH(H$4,0))*('Comp.'!$E$5:$E$402))</f>
        <v>0</v>
      </c>
      <c r="I22" s="11">
        <f>SUMPRODUCT((Diário!$E$4:$E$2662='Analítico Cp.'!$B22)*(Diário!$C$4:$C$2662&gt;=I$4)*(Diário!$C$4:$C$2662&lt;=EOMONTH(I$4,0))*(Diário!$F$4:$F$2662))
+SUMPRODUCT(('Comp.'!$D$5:$D$402=$B22)*('Comp.'!$B$5:$B$402&gt;=I$4)*('Comp.'!$B$5:$B$402&lt;=EOMONTH(I$4,0))*('Comp.'!$E$5:$E$402))</f>
        <v>0</v>
      </c>
      <c r="J22" s="11">
        <f>SUMPRODUCT((Diário!$E$4:$E$2662='Analítico Cp.'!$B22)*(Diário!$C$4:$C$2662&gt;=J$4)*(Diário!$C$4:$C$2662&lt;=EOMONTH(J$4,0))*(Diário!$F$4:$F$2662))
+SUMPRODUCT(('Comp.'!$D$5:$D$402=$B22)*('Comp.'!$B$5:$B$402&gt;=J$4)*('Comp.'!$B$5:$B$402&lt;=EOMONTH(J$4,0))*('Comp.'!$E$5:$E$402))</f>
        <v>0</v>
      </c>
      <c r="K22" s="11">
        <f>SUMPRODUCT((Diário!$E$4:$E$2662='Analítico Cp.'!$B22)*(Diário!$C$4:$C$2662&gt;=K$4)*(Diário!$C$4:$C$2662&lt;=EOMONTH(K$4,0))*(Diário!$F$4:$F$2662))
+SUMPRODUCT(('Comp.'!$D$5:$D$402=$B22)*('Comp.'!$B$5:$B$402&gt;=K$4)*('Comp.'!$B$5:$B$402&lt;=EOMONTH(K$4,0))*('Comp.'!$E$5:$E$402))</f>
        <v>0</v>
      </c>
      <c r="L22" s="11">
        <f>SUMPRODUCT((Diário!$E$4:$E$2662='Analítico Cp.'!$B22)*(Diário!$C$4:$C$2662&gt;=L$4)*(Diário!$C$4:$C$2662&lt;=EOMONTH(L$4,0))*(Diário!$F$4:$F$2662))
+SUMPRODUCT(('Comp.'!$D$5:$D$402=$B22)*('Comp.'!$B$5:$B$402&gt;=L$4)*('Comp.'!$B$5:$B$402&lt;=EOMONTH(L$4,0))*('Comp.'!$E$5:$E$402))</f>
        <v>0</v>
      </c>
      <c r="M22" s="11">
        <f>SUMPRODUCT((Diário!$E$4:$E$2662='Analítico Cp.'!$B22)*(Diário!$C$4:$C$2662&gt;=M$4)*(Diário!$C$4:$C$2662&lt;=EOMONTH(M$4,0))*(Diário!$F$4:$F$2662))
+SUMPRODUCT(('Comp.'!$D$5:$D$402=$B22)*('Comp.'!$B$5:$B$402&gt;=M$4)*('Comp.'!$B$5:$B$402&lt;=EOMONTH(M$4,0))*('Comp.'!$E$5:$E$402))</f>
        <v>0</v>
      </c>
      <c r="N22" s="11">
        <f>SUMPRODUCT((Diário!$E$4:$E$2662='Analítico Cp.'!$B22)*(Diário!$C$4:$C$2662&gt;=N$4)*(Diário!$C$4:$C$2662&lt;=EOMONTH(N$4,0))*(Diário!$F$4:$F$2662))
+SUMPRODUCT(('Comp.'!$D$5:$D$402=$B22)*('Comp.'!$B$5:$B$402&gt;=N$4)*('Comp.'!$B$5:$B$402&lt;=EOMONTH(N$4,0))*('Comp.'!$E$5:$E$402))</f>
        <v>0</v>
      </c>
      <c r="O22" s="12">
        <f t="shared" si="3"/>
        <v>0</v>
      </c>
      <c r="P22" s="95">
        <f t="shared" si="2"/>
        <v>0</v>
      </c>
    </row>
    <row r="23" spans="1:16" ht="23.25" customHeight="1">
      <c r="A23" s="40" t="s">
        <v>343</v>
      </c>
      <c r="B23" s="38" t="s">
        <v>344</v>
      </c>
      <c r="C23" s="11">
        <f>SUMPRODUCT((Diário!$E$4:$E$2662='Analítico Cp.'!$B23)*(Diário!$C$4:$C$2662&gt;=C$4)*(Diário!$C$4:$C$2662&lt;=EOMONTH(C$4,0))*(Diário!$F$4:$F$2662))
+SUMPRODUCT(('Comp.'!$D$5:$D$402=$B23)*('Comp.'!$B$5:$B$402&gt;=C$4)*('Comp.'!$B$5:$B$402&lt;=EOMONTH(C$4,0))*('Comp.'!$E$5:$E$402))</f>
        <v>0</v>
      </c>
      <c r="D23" s="11">
        <f>SUMPRODUCT((Diário!$E$4:$E$2662='Analítico Cp.'!$B23)*(Diário!$C$4:$C$2662&gt;=D$4)*(Diário!$C$4:$C$2662&lt;=EOMONTH(D$4,0))*(Diário!$F$4:$F$2662))
+SUMPRODUCT(('Comp.'!$D$5:$D$402=$B23)*('Comp.'!$B$5:$B$402&gt;=D$4)*('Comp.'!$B$5:$B$402&lt;=EOMONTH(D$4,0))*('Comp.'!$E$5:$E$402))</f>
        <v>0</v>
      </c>
      <c r="E23" s="11">
        <f>SUMPRODUCT((Diário!$E$4:$E$2662='Analítico Cp.'!$B23)*(Diário!$C$4:$C$2662&gt;=E$4)*(Diário!$C$4:$C$2662&lt;=EOMONTH(E$4,0))*(Diário!$F$4:$F$2662))
+SUMPRODUCT(('Comp.'!$D$5:$D$402=$B23)*('Comp.'!$B$5:$B$402&gt;=E$4)*('Comp.'!$B$5:$B$402&lt;=EOMONTH(E$4,0))*('Comp.'!$E$5:$E$402))</f>
        <v>0</v>
      </c>
      <c r="F23" s="11">
        <f>SUMPRODUCT((Diário!$E$4:$E$2662='Analítico Cp.'!$B23)*(Diário!$C$4:$C$2662&gt;=F$4)*(Diário!$C$4:$C$2662&lt;=EOMONTH(F$4,0))*(Diário!$F$4:$F$2662))
+SUMPRODUCT(('Comp.'!$D$5:$D$402=$B23)*('Comp.'!$B$5:$B$402&gt;=F$4)*('Comp.'!$B$5:$B$402&lt;=EOMONTH(F$4,0))*('Comp.'!$E$5:$E$402))</f>
        <v>0</v>
      </c>
      <c r="G23" s="11">
        <f>SUMPRODUCT((Diário!$E$4:$E$2662='Analítico Cp.'!$B23)*(Diário!$C$4:$C$2662&gt;=G$4)*(Diário!$C$4:$C$2662&lt;=EOMONTH(G$4,0))*(Diário!$F$4:$F$2662))
+SUMPRODUCT(('Comp.'!$D$5:$D$402=$B23)*('Comp.'!$B$5:$B$402&gt;=G$4)*('Comp.'!$B$5:$B$402&lt;=EOMONTH(G$4,0))*('Comp.'!$E$5:$E$402))</f>
        <v>0</v>
      </c>
      <c r="H23" s="11">
        <f>SUMPRODUCT((Diário!$E$4:$E$2662='Analítico Cp.'!$B23)*(Diário!$C$4:$C$2662&gt;=H$4)*(Diário!$C$4:$C$2662&lt;=EOMONTH(H$4,0))*(Diário!$F$4:$F$2662))
+SUMPRODUCT(('Comp.'!$D$5:$D$402=$B23)*('Comp.'!$B$5:$B$402&gt;=H$4)*('Comp.'!$B$5:$B$402&lt;=EOMONTH(H$4,0))*('Comp.'!$E$5:$E$402))</f>
        <v>0</v>
      </c>
      <c r="I23" s="11">
        <f>SUMPRODUCT((Diário!$E$4:$E$2662='Analítico Cp.'!$B23)*(Diário!$C$4:$C$2662&gt;=I$4)*(Diário!$C$4:$C$2662&lt;=EOMONTH(I$4,0))*(Diário!$F$4:$F$2662))
+SUMPRODUCT(('Comp.'!$D$5:$D$402=$B23)*('Comp.'!$B$5:$B$402&gt;=I$4)*('Comp.'!$B$5:$B$402&lt;=EOMONTH(I$4,0))*('Comp.'!$E$5:$E$402))</f>
        <v>0</v>
      </c>
      <c r="J23" s="11">
        <f>SUMPRODUCT((Diário!$E$4:$E$2662='Analítico Cp.'!$B23)*(Diário!$C$4:$C$2662&gt;=J$4)*(Diário!$C$4:$C$2662&lt;=EOMONTH(J$4,0))*(Diário!$F$4:$F$2662))
+SUMPRODUCT(('Comp.'!$D$5:$D$402=$B23)*('Comp.'!$B$5:$B$402&gt;=J$4)*('Comp.'!$B$5:$B$402&lt;=EOMONTH(J$4,0))*('Comp.'!$E$5:$E$402))</f>
        <v>0</v>
      </c>
      <c r="K23" s="11">
        <f>SUMPRODUCT((Diário!$E$4:$E$2662='Analítico Cp.'!$B23)*(Diário!$C$4:$C$2662&gt;=K$4)*(Diário!$C$4:$C$2662&lt;=EOMONTH(K$4,0))*(Diário!$F$4:$F$2662))
+SUMPRODUCT(('Comp.'!$D$5:$D$402=$B23)*('Comp.'!$B$5:$B$402&gt;=K$4)*('Comp.'!$B$5:$B$402&lt;=EOMONTH(K$4,0))*('Comp.'!$E$5:$E$402))</f>
        <v>0</v>
      </c>
      <c r="L23" s="11">
        <f>SUMPRODUCT((Diário!$E$4:$E$2662='Analítico Cp.'!$B23)*(Diário!$C$4:$C$2662&gt;=L$4)*(Diário!$C$4:$C$2662&lt;=EOMONTH(L$4,0))*(Diário!$F$4:$F$2662))
+SUMPRODUCT(('Comp.'!$D$5:$D$402=$B23)*('Comp.'!$B$5:$B$402&gt;=L$4)*('Comp.'!$B$5:$B$402&lt;=EOMONTH(L$4,0))*('Comp.'!$E$5:$E$402))</f>
        <v>0</v>
      </c>
      <c r="M23" s="11">
        <f>SUMPRODUCT((Diário!$E$4:$E$2662='Analítico Cp.'!$B23)*(Diário!$C$4:$C$2662&gt;=M$4)*(Diário!$C$4:$C$2662&lt;=EOMONTH(M$4,0))*(Diário!$F$4:$F$2662))
+SUMPRODUCT(('Comp.'!$D$5:$D$402=$B23)*('Comp.'!$B$5:$B$402&gt;=M$4)*('Comp.'!$B$5:$B$402&lt;=EOMONTH(M$4,0))*('Comp.'!$E$5:$E$402))</f>
        <v>0</v>
      </c>
      <c r="N23" s="11">
        <f>SUMPRODUCT((Diário!$E$4:$E$2662='Analítico Cp.'!$B23)*(Diário!$C$4:$C$2662&gt;=N$4)*(Diário!$C$4:$C$2662&lt;=EOMONTH(N$4,0))*(Diário!$F$4:$F$2662))
+SUMPRODUCT(('Comp.'!$D$5:$D$402=$B23)*('Comp.'!$B$5:$B$402&gt;=N$4)*('Comp.'!$B$5:$B$402&lt;=EOMONTH(N$4,0))*('Comp.'!$E$5:$E$402))</f>
        <v>0</v>
      </c>
      <c r="O23" s="12">
        <f t="shared" si="3"/>
        <v>0</v>
      </c>
      <c r="P23" s="95">
        <f t="shared" si="2"/>
        <v>0</v>
      </c>
    </row>
    <row r="24" spans="1:16" ht="23.25" customHeight="1">
      <c r="A24" s="40" t="s">
        <v>345</v>
      </c>
      <c r="B24" s="38" t="s">
        <v>346</v>
      </c>
      <c r="C24" s="11">
        <f>SUMPRODUCT((Diário!$E$4:$E$2662='Analítico Cp.'!$B24)*(Diário!$C$4:$C$2662&gt;=C$4)*(Diário!$C$4:$C$2662&lt;=EOMONTH(C$4,0))*(Diário!$F$4:$F$2662))
+SUMPRODUCT(('Comp.'!$D$5:$D$402=$B24)*('Comp.'!$B$5:$B$402&gt;=C$4)*('Comp.'!$B$5:$B$402&lt;=EOMONTH(C$4,0))*('Comp.'!$E$5:$E$402))</f>
        <v>0</v>
      </c>
      <c r="D24" s="11">
        <f>SUMPRODUCT((Diário!$E$4:$E$2662='Analítico Cp.'!$B24)*(Diário!$C$4:$C$2662&gt;=D$4)*(Diário!$C$4:$C$2662&lt;=EOMONTH(D$4,0))*(Diário!$F$4:$F$2662))
+SUMPRODUCT(('Comp.'!$D$5:$D$402=$B24)*('Comp.'!$B$5:$B$402&gt;=D$4)*('Comp.'!$B$5:$B$402&lt;=EOMONTH(D$4,0))*('Comp.'!$E$5:$E$402))</f>
        <v>0</v>
      </c>
      <c r="E24" s="11">
        <f>SUMPRODUCT((Diário!$E$4:$E$2662='Analítico Cp.'!$B24)*(Diário!$C$4:$C$2662&gt;=E$4)*(Diário!$C$4:$C$2662&lt;=EOMONTH(E$4,0))*(Diário!$F$4:$F$2662))
+SUMPRODUCT(('Comp.'!$D$5:$D$402=$B24)*('Comp.'!$B$5:$B$402&gt;=E$4)*('Comp.'!$B$5:$B$402&lt;=EOMONTH(E$4,0))*('Comp.'!$E$5:$E$402))</f>
        <v>0</v>
      </c>
      <c r="F24" s="11">
        <f>SUMPRODUCT((Diário!$E$4:$E$2662='Analítico Cp.'!$B24)*(Diário!$C$4:$C$2662&gt;=F$4)*(Diário!$C$4:$C$2662&lt;=EOMONTH(F$4,0))*(Diário!$F$4:$F$2662))
+SUMPRODUCT(('Comp.'!$D$5:$D$402=$B24)*('Comp.'!$B$5:$B$402&gt;=F$4)*('Comp.'!$B$5:$B$402&lt;=EOMONTH(F$4,0))*('Comp.'!$E$5:$E$402))</f>
        <v>0</v>
      </c>
      <c r="G24" s="11">
        <f>SUMPRODUCT((Diário!$E$4:$E$2662='Analítico Cp.'!$B24)*(Diário!$C$4:$C$2662&gt;=G$4)*(Diário!$C$4:$C$2662&lt;=EOMONTH(G$4,0))*(Diário!$F$4:$F$2662))
+SUMPRODUCT(('Comp.'!$D$5:$D$402=$B24)*('Comp.'!$B$5:$B$402&gt;=G$4)*('Comp.'!$B$5:$B$402&lt;=EOMONTH(G$4,0))*('Comp.'!$E$5:$E$402))</f>
        <v>0</v>
      </c>
      <c r="H24" s="11">
        <f>SUMPRODUCT((Diário!$E$4:$E$2662='Analítico Cp.'!$B24)*(Diário!$C$4:$C$2662&gt;=H$4)*(Diário!$C$4:$C$2662&lt;=EOMONTH(H$4,0))*(Diário!$F$4:$F$2662))
+SUMPRODUCT(('Comp.'!$D$5:$D$402=$B24)*('Comp.'!$B$5:$B$402&gt;=H$4)*('Comp.'!$B$5:$B$402&lt;=EOMONTH(H$4,0))*('Comp.'!$E$5:$E$402))</f>
        <v>0</v>
      </c>
      <c r="I24" s="11">
        <f>SUMPRODUCT((Diário!$E$4:$E$2662='Analítico Cp.'!$B24)*(Diário!$C$4:$C$2662&gt;=I$4)*(Diário!$C$4:$C$2662&lt;=EOMONTH(I$4,0))*(Diário!$F$4:$F$2662))
+SUMPRODUCT(('Comp.'!$D$5:$D$402=$B24)*('Comp.'!$B$5:$B$402&gt;=I$4)*('Comp.'!$B$5:$B$402&lt;=EOMONTH(I$4,0))*('Comp.'!$E$5:$E$402))</f>
        <v>0</v>
      </c>
      <c r="J24" s="11">
        <f>SUMPRODUCT((Diário!$E$4:$E$2662='Analítico Cp.'!$B24)*(Diário!$C$4:$C$2662&gt;=J$4)*(Diário!$C$4:$C$2662&lt;=EOMONTH(J$4,0))*(Diário!$F$4:$F$2662))
+SUMPRODUCT(('Comp.'!$D$5:$D$402=$B24)*('Comp.'!$B$5:$B$402&gt;=J$4)*('Comp.'!$B$5:$B$402&lt;=EOMONTH(J$4,0))*('Comp.'!$E$5:$E$402))</f>
        <v>0</v>
      </c>
      <c r="K24" s="11">
        <f>SUMPRODUCT((Diário!$E$4:$E$2662='Analítico Cp.'!$B24)*(Diário!$C$4:$C$2662&gt;=K$4)*(Diário!$C$4:$C$2662&lt;=EOMONTH(K$4,0))*(Diário!$F$4:$F$2662))
+SUMPRODUCT(('Comp.'!$D$5:$D$402=$B24)*('Comp.'!$B$5:$B$402&gt;=K$4)*('Comp.'!$B$5:$B$402&lt;=EOMONTH(K$4,0))*('Comp.'!$E$5:$E$402))</f>
        <v>0</v>
      </c>
      <c r="L24" s="11">
        <f>SUMPRODUCT((Diário!$E$4:$E$2662='Analítico Cp.'!$B24)*(Diário!$C$4:$C$2662&gt;=L$4)*(Diário!$C$4:$C$2662&lt;=EOMONTH(L$4,0))*(Diário!$F$4:$F$2662))
+SUMPRODUCT(('Comp.'!$D$5:$D$402=$B24)*('Comp.'!$B$5:$B$402&gt;=L$4)*('Comp.'!$B$5:$B$402&lt;=EOMONTH(L$4,0))*('Comp.'!$E$5:$E$402))</f>
        <v>0</v>
      </c>
      <c r="M24" s="11">
        <f>SUMPRODUCT((Diário!$E$4:$E$2662='Analítico Cp.'!$B24)*(Diário!$C$4:$C$2662&gt;=M$4)*(Diário!$C$4:$C$2662&lt;=EOMONTH(M$4,0))*(Diário!$F$4:$F$2662))
+SUMPRODUCT(('Comp.'!$D$5:$D$402=$B24)*('Comp.'!$B$5:$B$402&gt;=M$4)*('Comp.'!$B$5:$B$402&lt;=EOMONTH(M$4,0))*('Comp.'!$E$5:$E$402))</f>
        <v>0</v>
      </c>
      <c r="N24" s="11">
        <f>SUMPRODUCT((Diário!$E$4:$E$2662='Analítico Cp.'!$B24)*(Diário!$C$4:$C$2662&gt;=N$4)*(Diário!$C$4:$C$2662&lt;=EOMONTH(N$4,0))*(Diário!$F$4:$F$2662))
+SUMPRODUCT(('Comp.'!$D$5:$D$402=$B24)*('Comp.'!$B$5:$B$402&gt;=N$4)*('Comp.'!$B$5:$B$402&lt;=EOMONTH(N$4,0))*('Comp.'!$E$5:$E$402))</f>
        <v>0</v>
      </c>
      <c r="O24" s="12">
        <f t="shared" si="3"/>
        <v>0</v>
      </c>
      <c r="P24" s="95">
        <f t="shared" si="2"/>
        <v>0</v>
      </c>
    </row>
    <row r="25" spans="1:16" ht="23.25" customHeight="1">
      <c r="A25" s="40" t="s">
        <v>347</v>
      </c>
      <c r="B25" s="38" t="s">
        <v>82</v>
      </c>
      <c r="C25" s="11">
        <f>SUMPRODUCT((Diário!$E$4:$E$2662='Analítico Cp.'!$B25)*(Diário!$C$4:$C$2662&gt;=C$4)*(Diário!$C$4:$C$2662&lt;=EOMONTH(C$4,0))*(Diário!$F$4:$F$2662))
+SUMPRODUCT(('Comp.'!$D$5:$D$402=$B25)*('Comp.'!$B$5:$B$402&gt;=C$4)*('Comp.'!$B$5:$B$402&lt;=EOMONTH(C$4,0))*('Comp.'!$E$5:$E$402))</f>
        <v>0</v>
      </c>
      <c r="D25" s="11">
        <f>SUMPRODUCT((Diário!$E$4:$E$2662='Analítico Cp.'!$B25)*(Diário!$C$4:$C$2662&gt;=D$4)*(Diário!$C$4:$C$2662&lt;=EOMONTH(D$4,0))*(Diário!$F$4:$F$2662))
+SUMPRODUCT(('Comp.'!$D$5:$D$402=$B25)*('Comp.'!$B$5:$B$402&gt;=D$4)*('Comp.'!$B$5:$B$402&lt;=EOMONTH(D$4,0))*('Comp.'!$E$5:$E$402))</f>
        <v>0</v>
      </c>
      <c r="E25" s="11">
        <f>SUMPRODUCT((Diário!$E$4:$E$2662='Analítico Cp.'!$B25)*(Diário!$C$4:$C$2662&gt;=E$4)*(Diário!$C$4:$C$2662&lt;=EOMONTH(E$4,0))*(Diário!$F$4:$F$2662))
+SUMPRODUCT(('Comp.'!$D$5:$D$402=$B25)*('Comp.'!$B$5:$B$402&gt;=E$4)*('Comp.'!$B$5:$B$402&lt;=EOMONTH(E$4,0))*('Comp.'!$E$5:$E$402))</f>
        <v>0</v>
      </c>
      <c r="F25" s="11">
        <f>SUMPRODUCT((Diário!$E$4:$E$2662='Analítico Cp.'!$B25)*(Diário!$C$4:$C$2662&gt;=F$4)*(Diário!$C$4:$C$2662&lt;=EOMONTH(F$4,0))*(Diário!$F$4:$F$2662))
+SUMPRODUCT(('Comp.'!$D$5:$D$402=$B25)*('Comp.'!$B$5:$B$402&gt;=F$4)*('Comp.'!$B$5:$B$402&lt;=EOMONTH(F$4,0))*('Comp.'!$E$5:$E$402))</f>
        <v>0</v>
      </c>
      <c r="G25" s="11">
        <f>SUMPRODUCT((Diário!$E$4:$E$2662='Analítico Cp.'!$B25)*(Diário!$C$4:$C$2662&gt;=G$4)*(Diário!$C$4:$C$2662&lt;=EOMONTH(G$4,0))*(Diário!$F$4:$F$2662))
+SUMPRODUCT(('Comp.'!$D$5:$D$402=$B25)*('Comp.'!$B$5:$B$402&gt;=G$4)*('Comp.'!$B$5:$B$402&lt;=EOMONTH(G$4,0))*('Comp.'!$E$5:$E$402))</f>
        <v>0</v>
      </c>
      <c r="H25" s="11">
        <f>SUMPRODUCT((Diário!$E$4:$E$2662='Analítico Cp.'!$B25)*(Diário!$C$4:$C$2662&gt;=H$4)*(Diário!$C$4:$C$2662&lt;=EOMONTH(H$4,0))*(Diário!$F$4:$F$2662))
+SUMPRODUCT(('Comp.'!$D$5:$D$402=$B25)*('Comp.'!$B$5:$B$402&gt;=H$4)*('Comp.'!$B$5:$B$402&lt;=EOMONTH(H$4,0))*('Comp.'!$E$5:$E$402))</f>
        <v>0</v>
      </c>
      <c r="I25" s="11">
        <f>SUMPRODUCT((Diário!$E$4:$E$2662='Analítico Cp.'!$B25)*(Diário!$C$4:$C$2662&gt;=I$4)*(Diário!$C$4:$C$2662&lt;=EOMONTH(I$4,0))*(Diário!$F$4:$F$2662))
+SUMPRODUCT(('Comp.'!$D$5:$D$402=$B25)*('Comp.'!$B$5:$B$402&gt;=I$4)*('Comp.'!$B$5:$B$402&lt;=EOMONTH(I$4,0))*('Comp.'!$E$5:$E$402))</f>
        <v>0</v>
      </c>
      <c r="J25" s="11">
        <f>SUMPRODUCT((Diário!$E$4:$E$2662='Analítico Cp.'!$B25)*(Diário!$C$4:$C$2662&gt;=J$4)*(Diário!$C$4:$C$2662&lt;=EOMONTH(J$4,0))*(Diário!$F$4:$F$2662))
+SUMPRODUCT(('Comp.'!$D$5:$D$402=$B25)*('Comp.'!$B$5:$B$402&gt;=J$4)*('Comp.'!$B$5:$B$402&lt;=EOMONTH(J$4,0))*('Comp.'!$E$5:$E$402))</f>
        <v>0</v>
      </c>
      <c r="K25" s="11">
        <f>SUMPRODUCT((Diário!$E$4:$E$2662='Analítico Cp.'!$B25)*(Diário!$C$4:$C$2662&gt;=K$4)*(Diário!$C$4:$C$2662&lt;=EOMONTH(K$4,0))*(Diário!$F$4:$F$2662))
+SUMPRODUCT(('Comp.'!$D$5:$D$402=$B25)*('Comp.'!$B$5:$B$402&gt;=K$4)*('Comp.'!$B$5:$B$402&lt;=EOMONTH(K$4,0))*('Comp.'!$E$5:$E$402))</f>
        <v>0</v>
      </c>
      <c r="L25" s="11">
        <f>SUMPRODUCT((Diário!$E$4:$E$2662='Analítico Cp.'!$B25)*(Diário!$C$4:$C$2662&gt;=L$4)*(Diário!$C$4:$C$2662&lt;=EOMONTH(L$4,0))*(Diário!$F$4:$F$2662))
+SUMPRODUCT(('Comp.'!$D$5:$D$402=$B25)*('Comp.'!$B$5:$B$402&gt;=L$4)*('Comp.'!$B$5:$B$402&lt;=EOMONTH(L$4,0))*('Comp.'!$E$5:$E$402))</f>
        <v>0</v>
      </c>
      <c r="M25" s="11">
        <f>SUMPRODUCT((Diário!$E$4:$E$2662='Analítico Cp.'!$B25)*(Diário!$C$4:$C$2662&gt;=M$4)*(Diário!$C$4:$C$2662&lt;=EOMONTH(M$4,0))*(Diário!$F$4:$F$2662))
+SUMPRODUCT(('Comp.'!$D$5:$D$402=$B25)*('Comp.'!$B$5:$B$402&gt;=M$4)*('Comp.'!$B$5:$B$402&lt;=EOMONTH(M$4,0))*('Comp.'!$E$5:$E$402))</f>
        <v>0</v>
      </c>
      <c r="N25" s="11">
        <f>SUMPRODUCT((Diário!$E$4:$E$2662='Analítico Cp.'!$B25)*(Diário!$C$4:$C$2662&gt;=N$4)*(Diário!$C$4:$C$2662&lt;=EOMONTH(N$4,0))*(Diário!$F$4:$F$2662))
+SUMPRODUCT(('Comp.'!$D$5:$D$402=$B25)*('Comp.'!$B$5:$B$402&gt;=N$4)*('Comp.'!$B$5:$B$402&lt;=EOMONTH(N$4,0))*('Comp.'!$E$5:$E$402))</f>
        <v>0</v>
      </c>
      <c r="O25" s="12">
        <f t="shared" si="3"/>
        <v>0</v>
      </c>
      <c r="P25" s="95">
        <f t="shared" si="2"/>
        <v>0</v>
      </c>
    </row>
    <row r="26" spans="1:16" ht="23.25" customHeight="1">
      <c r="A26" s="17"/>
      <c r="B26" s="18" t="s">
        <v>93</v>
      </c>
      <c r="C26" s="13">
        <f t="shared" ref="C26:O26" si="4">SUBTOTAL(109,C18:C25)</f>
        <v>486210.02999999997</v>
      </c>
      <c r="D26" s="13">
        <f t="shared" si="4"/>
        <v>1149266.8799999999</v>
      </c>
      <c r="E26" s="13">
        <f t="shared" si="4"/>
        <v>1281365.2100000004</v>
      </c>
      <c r="F26" s="13">
        <f t="shared" si="4"/>
        <v>1277251.48</v>
      </c>
      <c r="G26" s="13">
        <f t="shared" si="4"/>
        <v>1299802.8500000001</v>
      </c>
      <c r="H26" s="13">
        <f t="shared" si="4"/>
        <v>1416252.31</v>
      </c>
      <c r="I26" s="13">
        <f t="shared" si="4"/>
        <v>0</v>
      </c>
      <c r="J26" s="13">
        <f t="shared" si="4"/>
        <v>0</v>
      </c>
      <c r="K26" s="13">
        <f t="shared" si="4"/>
        <v>0</v>
      </c>
      <c r="L26" s="13">
        <f t="shared" si="4"/>
        <v>0</v>
      </c>
      <c r="M26" s="13">
        <f t="shared" si="4"/>
        <v>0</v>
      </c>
      <c r="N26" s="13">
        <f t="shared" si="4"/>
        <v>0</v>
      </c>
      <c r="O26" s="13">
        <f t="shared" si="4"/>
        <v>6910148.7599999998</v>
      </c>
      <c r="P26" s="96">
        <f t="shared" si="2"/>
        <v>0.34606615991008066</v>
      </c>
    </row>
    <row r="27" spans="1:16" s="21" customFormat="1" ht="23.25" customHeight="1">
      <c r="A27" s="218" t="s">
        <v>12</v>
      </c>
      <c r="B27" s="219" t="s">
        <v>7</v>
      </c>
      <c r="C27" s="247"/>
      <c r="D27" s="247"/>
      <c r="E27" s="247"/>
      <c r="F27" s="247"/>
      <c r="G27" s="247"/>
      <c r="H27" s="247"/>
      <c r="I27" s="247"/>
      <c r="J27" s="247"/>
      <c r="K27" s="247"/>
      <c r="L27" s="247"/>
      <c r="M27" s="247"/>
      <c r="N27" s="247"/>
      <c r="O27" s="247"/>
      <c r="P27" s="222"/>
    </row>
    <row r="28" spans="1:16" ht="23.25" customHeight="1">
      <c r="A28" s="40" t="s">
        <v>94</v>
      </c>
      <c r="B28" s="39" t="s">
        <v>231</v>
      </c>
      <c r="C28" s="11">
        <f>SUMPRODUCT((Diário!$E$4:$E$2662='Analítico Cp.'!$B28)*(Diário!$C$4:$C$2662&gt;=C$4)*(Diário!$C$4:$C$2662&lt;=EOMONTH(C$4,0))*(Diário!$F$4:$F$2662))
+SUMPRODUCT(('Comp.'!$D$5:$D$402=$B28)*('Comp.'!$B$5:$B$402&gt;=C$4)*('Comp.'!$B$5:$B$402&lt;=EOMONTH(C$4,0))*('Comp.'!$E$5:$E$402))</f>
        <v>0</v>
      </c>
      <c r="D28" s="11">
        <f>SUMPRODUCT((Diário!$E$4:$E$2662='Analítico Cp.'!$B28)*(Diário!$C$4:$C$2662&gt;=D$4)*(Diário!$C$4:$C$2662&lt;=EOMONTH(D$4,0))*(Diário!$F$4:$F$2662))
+SUMPRODUCT(('Comp.'!$D$5:$D$402=$B28)*('Comp.'!$B$5:$B$402&gt;=D$4)*('Comp.'!$B$5:$B$402&lt;=EOMONTH(D$4,0))*('Comp.'!$E$5:$E$402))</f>
        <v>0</v>
      </c>
      <c r="E28" s="11">
        <f>SUMPRODUCT((Diário!$E$4:$E$2662='Analítico Cp.'!$B28)*(Diário!$C$4:$C$2662&gt;=E$4)*(Diário!$C$4:$C$2662&lt;=EOMONTH(E$4,0))*(Diário!$F$4:$F$2662))
+SUMPRODUCT(('Comp.'!$D$5:$D$402=$B28)*('Comp.'!$B$5:$B$402&gt;=E$4)*('Comp.'!$B$5:$B$402&lt;=EOMONTH(E$4,0))*('Comp.'!$E$5:$E$402))</f>
        <v>7312.5</v>
      </c>
      <c r="F28" s="11">
        <f>SUMPRODUCT((Diário!$E$4:$E$2662='Analítico Cp.'!$B28)*(Diário!$C$4:$C$2662&gt;=F$4)*(Diário!$C$4:$C$2662&lt;=EOMONTH(F$4,0))*(Diário!$F$4:$F$2662))
+SUMPRODUCT(('Comp.'!$D$5:$D$402=$B28)*('Comp.'!$B$5:$B$402&gt;=F$4)*('Comp.'!$B$5:$B$402&lt;=EOMONTH(F$4,0))*('Comp.'!$E$5:$E$402))</f>
        <v>0</v>
      </c>
      <c r="G28" s="11">
        <f>SUMPRODUCT((Diário!$E$4:$E$2662='Analítico Cp.'!$B28)*(Diário!$C$4:$C$2662&gt;=G$4)*(Diário!$C$4:$C$2662&lt;=EOMONTH(G$4,0))*(Diário!$F$4:$F$2662))
+SUMPRODUCT(('Comp.'!$D$5:$D$402=$B28)*('Comp.'!$B$5:$B$402&gt;=G$4)*('Comp.'!$B$5:$B$402&lt;=EOMONTH(G$4,0))*('Comp.'!$E$5:$E$402))</f>
        <v>18750</v>
      </c>
      <c r="H28" s="11">
        <f>SUMPRODUCT((Diário!$E$4:$E$2662='Analítico Cp.'!$B28)*(Diário!$C$4:$C$2662&gt;=H$4)*(Diário!$C$4:$C$2662&lt;=EOMONTH(H$4,0))*(Diário!$F$4:$F$2662))
+SUMPRODUCT(('Comp.'!$D$5:$D$402=$B28)*('Comp.'!$B$5:$B$402&gt;=H$4)*('Comp.'!$B$5:$B$402&lt;=EOMONTH(H$4,0))*('Comp.'!$E$5:$E$402))</f>
        <v>1140</v>
      </c>
      <c r="I28" s="11">
        <f>SUMPRODUCT((Diário!$E$4:$E$2662='Analítico Cp.'!$B28)*(Diário!$C$4:$C$2662&gt;=I$4)*(Diário!$C$4:$C$2662&lt;=EOMONTH(I$4,0))*(Diário!$F$4:$F$2662))
+SUMPRODUCT(('Comp.'!$D$5:$D$402=$B28)*('Comp.'!$B$5:$B$402&gt;=I$4)*('Comp.'!$B$5:$B$402&lt;=EOMONTH(I$4,0))*('Comp.'!$E$5:$E$402))</f>
        <v>0</v>
      </c>
      <c r="J28" s="11">
        <f>SUMPRODUCT((Diário!$E$4:$E$2662='Analítico Cp.'!$B28)*(Diário!$C$4:$C$2662&gt;=J$4)*(Diário!$C$4:$C$2662&lt;=EOMONTH(J$4,0))*(Diário!$F$4:$F$2662))
+SUMPRODUCT(('Comp.'!$D$5:$D$402=$B28)*('Comp.'!$B$5:$B$402&gt;=J$4)*('Comp.'!$B$5:$B$402&lt;=EOMONTH(J$4,0))*('Comp.'!$E$5:$E$402))</f>
        <v>0</v>
      </c>
      <c r="K28" s="11">
        <f>SUMPRODUCT((Diário!$E$4:$E$2662='Analítico Cp.'!$B28)*(Diário!$C$4:$C$2662&gt;=K$4)*(Diário!$C$4:$C$2662&lt;=EOMONTH(K$4,0))*(Diário!$F$4:$F$2662))
+SUMPRODUCT(('Comp.'!$D$5:$D$402=$B28)*('Comp.'!$B$5:$B$402&gt;=K$4)*('Comp.'!$B$5:$B$402&lt;=EOMONTH(K$4,0))*('Comp.'!$E$5:$E$402))</f>
        <v>0</v>
      </c>
      <c r="L28" s="11">
        <f>SUMPRODUCT((Diário!$E$4:$E$2662='Analítico Cp.'!$B28)*(Diário!$C$4:$C$2662&gt;=L$4)*(Diário!$C$4:$C$2662&lt;=EOMONTH(L$4,0))*(Diário!$F$4:$F$2662))
+SUMPRODUCT(('Comp.'!$D$5:$D$402=$B28)*('Comp.'!$B$5:$B$402&gt;=L$4)*('Comp.'!$B$5:$B$402&lt;=EOMONTH(L$4,0))*('Comp.'!$E$5:$E$402))</f>
        <v>0</v>
      </c>
      <c r="M28" s="11">
        <f>SUMPRODUCT((Diário!$E$4:$E$2662='Analítico Cp.'!$B28)*(Diário!$C$4:$C$2662&gt;=M$4)*(Diário!$C$4:$C$2662&lt;=EOMONTH(M$4,0))*(Diário!$F$4:$F$2662))
+SUMPRODUCT(('Comp.'!$D$5:$D$402=$B28)*('Comp.'!$B$5:$B$402&gt;=M$4)*('Comp.'!$B$5:$B$402&lt;=EOMONTH(M$4,0))*('Comp.'!$E$5:$E$402))</f>
        <v>0</v>
      </c>
      <c r="N28" s="11">
        <f>SUMPRODUCT((Diário!$E$4:$E$2662='Analítico Cp.'!$B28)*(Diário!$C$4:$C$2662&gt;=N$4)*(Diário!$C$4:$C$2662&lt;=EOMONTH(N$4,0))*(Diário!$F$4:$F$2662))
+SUMPRODUCT(('Comp.'!$D$5:$D$402=$B28)*('Comp.'!$B$5:$B$402&gt;=N$4)*('Comp.'!$B$5:$B$402&lt;=EOMONTH(N$4,0))*('Comp.'!$E$5:$E$402))</f>
        <v>0</v>
      </c>
      <c r="O28" s="12">
        <f>SUM(C28:N28)</f>
        <v>27202.5</v>
      </c>
      <c r="P28" s="95">
        <f>IF($O$189=0,0,O28/$O$189)</f>
        <v>1.3623244653497111E-3</v>
      </c>
    </row>
    <row r="29" spans="1:16" ht="23.25" customHeight="1">
      <c r="A29" s="40" t="s">
        <v>232</v>
      </c>
      <c r="B29" s="39" t="s">
        <v>233</v>
      </c>
      <c r="C29" s="11">
        <f>SUMPRODUCT((Diário!$E$4:$E$2662='Analítico Cp.'!$B29)*(Diário!$C$4:$C$2662&gt;=C$4)*(Diário!$C$4:$C$2662&lt;=EOMONTH(C$4,0))*(Diário!$F$4:$F$2662))
+SUMPRODUCT(('Comp.'!$D$5:$D$402=$B29)*('Comp.'!$B$5:$B$402&gt;=C$4)*('Comp.'!$B$5:$B$402&lt;=EOMONTH(C$4,0))*('Comp.'!$E$5:$E$402))</f>
        <v>0</v>
      </c>
      <c r="D29" s="11">
        <f>SUMPRODUCT((Diário!$E$4:$E$2662='Analítico Cp.'!$B29)*(Diário!$C$4:$C$2662&gt;=D$4)*(Diário!$C$4:$C$2662&lt;=EOMONTH(D$4,0))*(Diário!$F$4:$F$2662))
+SUMPRODUCT(('Comp.'!$D$5:$D$402=$B29)*('Comp.'!$B$5:$B$402&gt;=D$4)*('Comp.'!$B$5:$B$402&lt;=EOMONTH(D$4,0))*('Comp.'!$E$5:$E$402))</f>
        <v>0</v>
      </c>
      <c r="E29" s="11">
        <f>SUMPRODUCT((Diário!$E$4:$E$2662='Analítico Cp.'!$B29)*(Diário!$C$4:$C$2662&gt;=E$4)*(Diário!$C$4:$C$2662&lt;=EOMONTH(E$4,0))*(Diário!$F$4:$F$2662))
+SUMPRODUCT(('Comp.'!$D$5:$D$402=$B29)*('Comp.'!$B$5:$B$402&gt;=E$4)*('Comp.'!$B$5:$B$402&lt;=EOMONTH(E$4,0))*('Comp.'!$E$5:$E$402))</f>
        <v>0</v>
      </c>
      <c r="F29" s="11">
        <f>SUMPRODUCT((Diário!$E$4:$E$2662='Analítico Cp.'!$B29)*(Diário!$C$4:$C$2662&gt;=F$4)*(Diário!$C$4:$C$2662&lt;=EOMONTH(F$4,0))*(Diário!$F$4:$F$2662))
+SUMPRODUCT(('Comp.'!$D$5:$D$402=$B29)*('Comp.'!$B$5:$B$402&gt;=F$4)*('Comp.'!$B$5:$B$402&lt;=EOMONTH(F$4,0))*('Comp.'!$E$5:$E$402))</f>
        <v>0</v>
      </c>
      <c r="G29" s="11">
        <f>SUMPRODUCT((Diário!$E$4:$E$2662='Analítico Cp.'!$B29)*(Diário!$C$4:$C$2662&gt;=G$4)*(Diário!$C$4:$C$2662&lt;=EOMONTH(G$4,0))*(Diário!$F$4:$F$2662))
+SUMPRODUCT(('Comp.'!$D$5:$D$402=$B29)*('Comp.'!$B$5:$B$402&gt;=G$4)*('Comp.'!$B$5:$B$402&lt;=EOMONTH(G$4,0))*('Comp.'!$E$5:$E$402))</f>
        <v>0</v>
      </c>
      <c r="H29" s="11">
        <f>SUMPRODUCT((Diário!$E$4:$E$2662='Analítico Cp.'!$B29)*(Diário!$C$4:$C$2662&gt;=H$4)*(Diário!$C$4:$C$2662&lt;=EOMONTH(H$4,0))*(Diário!$F$4:$F$2662))
+SUMPRODUCT(('Comp.'!$D$5:$D$402=$B29)*('Comp.'!$B$5:$B$402&gt;=H$4)*('Comp.'!$B$5:$B$402&lt;=EOMONTH(H$4,0))*('Comp.'!$E$5:$E$402))</f>
        <v>0</v>
      </c>
      <c r="I29" s="11">
        <f>SUMPRODUCT((Diário!$E$4:$E$2662='Analítico Cp.'!$B29)*(Diário!$C$4:$C$2662&gt;=I$4)*(Diário!$C$4:$C$2662&lt;=EOMONTH(I$4,0))*(Diário!$F$4:$F$2662))
+SUMPRODUCT(('Comp.'!$D$5:$D$402=$B29)*('Comp.'!$B$5:$B$402&gt;=I$4)*('Comp.'!$B$5:$B$402&lt;=EOMONTH(I$4,0))*('Comp.'!$E$5:$E$402))</f>
        <v>0</v>
      </c>
      <c r="J29" s="11">
        <f>SUMPRODUCT((Diário!$E$4:$E$2662='Analítico Cp.'!$B29)*(Diário!$C$4:$C$2662&gt;=J$4)*(Diário!$C$4:$C$2662&lt;=EOMONTH(J$4,0))*(Diário!$F$4:$F$2662))
+SUMPRODUCT(('Comp.'!$D$5:$D$402=$B29)*('Comp.'!$B$5:$B$402&gt;=J$4)*('Comp.'!$B$5:$B$402&lt;=EOMONTH(J$4,0))*('Comp.'!$E$5:$E$402))</f>
        <v>0</v>
      </c>
      <c r="K29" s="11">
        <f>SUMPRODUCT((Diário!$E$4:$E$2662='Analítico Cp.'!$B29)*(Diário!$C$4:$C$2662&gt;=K$4)*(Diário!$C$4:$C$2662&lt;=EOMONTH(K$4,0))*(Diário!$F$4:$F$2662))
+SUMPRODUCT(('Comp.'!$D$5:$D$402=$B29)*('Comp.'!$B$5:$B$402&gt;=K$4)*('Comp.'!$B$5:$B$402&lt;=EOMONTH(K$4,0))*('Comp.'!$E$5:$E$402))</f>
        <v>0</v>
      </c>
      <c r="L29" s="11">
        <f>SUMPRODUCT((Diário!$E$4:$E$2662='Analítico Cp.'!$B29)*(Diário!$C$4:$C$2662&gt;=L$4)*(Diário!$C$4:$C$2662&lt;=EOMONTH(L$4,0))*(Diário!$F$4:$F$2662))
+SUMPRODUCT(('Comp.'!$D$5:$D$402=$B29)*('Comp.'!$B$5:$B$402&gt;=L$4)*('Comp.'!$B$5:$B$402&lt;=EOMONTH(L$4,0))*('Comp.'!$E$5:$E$402))</f>
        <v>0</v>
      </c>
      <c r="M29" s="11">
        <f>SUMPRODUCT((Diário!$E$4:$E$2662='Analítico Cp.'!$B29)*(Diário!$C$4:$C$2662&gt;=M$4)*(Diário!$C$4:$C$2662&lt;=EOMONTH(M$4,0))*(Diário!$F$4:$F$2662))
+SUMPRODUCT(('Comp.'!$D$5:$D$402=$B29)*('Comp.'!$B$5:$B$402&gt;=M$4)*('Comp.'!$B$5:$B$402&lt;=EOMONTH(M$4,0))*('Comp.'!$E$5:$E$402))</f>
        <v>0</v>
      </c>
      <c r="N29" s="11">
        <f>SUMPRODUCT((Diário!$E$4:$E$2662='Analítico Cp.'!$B29)*(Diário!$C$4:$C$2662&gt;=N$4)*(Diário!$C$4:$C$2662&lt;=EOMONTH(N$4,0))*(Diário!$F$4:$F$2662))
+SUMPRODUCT(('Comp.'!$D$5:$D$402=$B29)*('Comp.'!$B$5:$B$402&gt;=N$4)*('Comp.'!$B$5:$B$402&lt;=EOMONTH(N$4,0))*('Comp.'!$E$5:$E$402))</f>
        <v>0</v>
      </c>
      <c r="O29" s="12">
        <f>SUM(C29:N29)</f>
        <v>0</v>
      </c>
      <c r="P29" s="95">
        <f>IF($O$189=0,0,O29/$O$189)</f>
        <v>0</v>
      </c>
    </row>
    <row r="30" spans="1:16" ht="23.25" customHeight="1">
      <c r="A30" s="17"/>
      <c r="B30" s="18" t="s">
        <v>95</v>
      </c>
      <c r="C30" s="13">
        <f>SUBTOTAL(109,C28:C29)</f>
        <v>0</v>
      </c>
      <c r="D30" s="13">
        <f>SUBTOTAL(109,D28:D29)</f>
        <v>0</v>
      </c>
      <c r="E30" s="13">
        <f>SUBTOTAL(109,E28:E29)</f>
        <v>7312.5</v>
      </c>
      <c r="F30" s="13">
        <f t="shared" ref="F30:N30" si="5">SUBTOTAL(109,F28:F29)</f>
        <v>0</v>
      </c>
      <c r="G30" s="13">
        <f t="shared" si="5"/>
        <v>18750</v>
      </c>
      <c r="H30" s="13">
        <f t="shared" si="5"/>
        <v>1140</v>
      </c>
      <c r="I30" s="13">
        <f t="shared" si="5"/>
        <v>0</v>
      </c>
      <c r="J30" s="13">
        <f t="shared" si="5"/>
        <v>0</v>
      </c>
      <c r="K30" s="13">
        <f t="shared" si="5"/>
        <v>0</v>
      </c>
      <c r="L30" s="13">
        <f t="shared" si="5"/>
        <v>0</v>
      </c>
      <c r="M30" s="13">
        <f t="shared" si="5"/>
        <v>0</v>
      </c>
      <c r="N30" s="13">
        <f t="shared" si="5"/>
        <v>0</v>
      </c>
      <c r="O30" s="13">
        <f>SUBTOTAL(109,O28:O29)</f>
        <v>27202.5</v>
      </c>
      <c r="P30" s="96">
        <f>IF($O$189=0,0,O30/$O$189)</f>
        <v>1.3623244653497111E-3</v>
      </c>
    </row>
    <row r="31" spans="1:16" ht="23.25" customHeight="1">
      <c r="A31" s="203" t="s">
        <v>13</v>
      </c>
      <c r="B31" s="219" t="s">
        <v>36</v>
      </c>
      <c r="C31" s="247"/>
      <c r="D31" s="247"/>
      <c r="E31" s="247"/>
      <c r="F31" s="247"/>
      <c r="G31" s="247"/>
      <c r="H31" s="247"/>
      <c r="I31" s="247"/>
      <c r="J31" s="247"/>
      <c r="K31" s="247"/>
      <c r="L31" s="247"/>
      <c r="M31" s="247"/>
      <c r="N31" s="247"/>
      <c r="O31" s="247"/>
      <c r="P31" s="222"/>
    </row>
    <row r="32" spans="1:16" ht="23.25" customHeight="1">
      <c r="A32" s="40" t="s">
        <v>96</v>
      </c>
      <c r="B32" s="39" t="s">
        <v>234</v>
      </c>
      <c r="C32" s="11">
        <f>'Prov. Pessoal'!C7-'Prov. Pessoal'!C17</f>
        <v>455545.02</v>
      </c>
      <c r="D32" s="11">
        <f>'Prov. Pessoal'!D7-'Prov. Pessoal'!D17</f>
        <v>553647.12</v>
      </c>
      <c r="E32" s="11">
        <f>'Prov. Pessoal'!E7-'Prov. Pessoal'!E17</f>
        <v>-70906.919999999984</v>
      </c>
      <c r="F32" s="11">
        <f>'Prov. Pessoal'!F7-'Prov. Pessoal'!F17</f>
        <v>477658.50999999995</v>
      </c>
      <c r="G32" s="11">
        <f>'Prov. Pessoal'!G7-'Prov. Pessoal'!G17</f>
        <v>506683.32</v>
      </c>
      <c r="H32" s="11">
        <f>'Prov. Pessoal'!H7-'Prov. Pessoal'!H17</f>
        <v>404386.55999999994</v>
      </c>
      <c r="I32" s="11">
        <f>'Prov. Pessoal'!I7-'Prov. Pessoal'!I17</f>
        <v>0</v>
      </c>
      <c r="J32" s="11">
        <f>'Prov. Pessoal'!J7-'Prov. Pessoal'!J17</f>
        <v>0</v>
      </c>
      <c r="K32" s="11">
        <f>'Prov. Pessoal'!K7-'Prov. Pessoal'!K17</f>
        <v>0</v>
      </c>
      <c r="L32" s="11">
        <f>'Prov. Pessoal'!L7-'Prov. Pessoal'!L17</f>
        <v>0</v>
      </c>
      <c r="M32" s="11">
        <f>'Prov. Pessoal'!M7-'Prov. Pessoal'!M17</f>
        <v>0</v>
      </c>
      <c r="N32" s="11">
        <f>'Prov. Pessoal'!N7-'Prov. Pessoal'!N17</f>
        <v>0</v>
      </c>
      <c r="O32" s="12">
        <f t="shared" ref="O32:O41" si="6">SUM(C32:N32)</f>
        <v>2327013.61</v>
      </c>
      <c r="P32" s="95">
        <f t="shared" ref="P32:P43" si="7">IF($O$189=0,0,O32/$O$189)</f>
        <v>0.11653883180239871</v>
      </c>
    </row>
    <row r="33" spans="1:16" ht="23.25" customHeight="1">
      <c r="A33" s="40" t="s">
        <v>158</v>
      </c>
      <c r="B33" s="39" t="s">
        <v>245</v>
      </c>
      <c r="C33" s="11">
        <f>'Prov. Pessoal'!C8-'Prov. Pessoal'!C18</f>
        <v>12918.88</v>
      </c>
      <c r="D33" s="11">
        <f>'Prov. Pessoal'!D8-'Prov. Pessoal'!D18</f>
        <v>16366.24</v>
      </c>
      <c r="E33" s="11">
        <f>'Prov. Pessoal'!E8-'Prov. Pessoal'!E18</f>
        <v>13066.21</v>
      </c>
      <c r="F33" s="11">
        <f>'Prov. Pessoal'!F8-'Prov. Pessoal'!F18</f>
        <v>13168.69</v>
      </c>
      <c r="G33" s="11">
        <f>'Prov. Pessoal'!G8-'Prov. Pessoal'!G18</f>
        <v>13355</v>
      </c>
      <c r="H33" s="11">
        <f>'Prov. Pessoal'!H8-'Prov. Pessoal'!H18</f>
        <v>13204.41</v>
      </c>
      <c r="I33" s="11">
        <f>'Prov. Pessoal'!I8-'Prov. Pessoal'!I18</f>
        <v>0</v>
      </c>
      <c r="J33" s="11">
        <f>'Prov. Pessoal'!J8-'Prov. Pessoal'!J18</f>
        <v>0</v>
      </c>
      <c r="K33" s="11">
        <f>'Prov. Pessoal'!K8-'Prov. Pessoal'!K18</f>
        <v>0</v>
      </c>
      <c r="L33" s="11">
        <f>'Prov. Pessoal'!L8-'Prov. Pessoal'!L18</f>
        <v>0</v>
      </c>
      <c r="M33" s="11">
        <f>'Prov. Pessoal'!M8-'Prov. Pessoal'!M18</f>
        <v>0</v>
      </c>
      <c r="N33" s="11">
        <f>'Prov. Pessoal'!N8-'Prov. Pessoal'!N18</f>
        <v>0</v>
      </c>
      <c r="O33" s="12">
        <f t="shared" si="6"/>
        <v>82079.430000000008</v>
      </c>
      <c r="P33" s="95">
        <f t="shared" si="7"/>
        <v>4.1106080540744064E-3</v>
      </c>
    </row>
    <row r="34" spans="1:16" ht="23.25" customHeight="1">
      <c r="A34" s="40" t="s">
        <v>222</v>
      </c>
      <c r="B34" s="39" t="s">
        <v>4</v>
      </c>
      <c r="C34" s="11">
        <f>'Prov. Pessoal'!C9-'Prov. Pessoal'!C19</f>
        <v>161432.66999999998</v>
      </c>
      <c r="D34" s="11">
        <f>'Prov. Pessoal'!D9-'Prov. Pessoal'!D19</f>
        <v>134409.06</v>
      </c>
      <c r="E34" s="11">
        <f>'Prov. Pessoal'!E9-'Prov. Pessoal'!E19</f>
        <v>297609.65999999997</v>
      </c>
      <c r="F34" s="11">
        <f>'Prov. Pessoal'!F9-'Prov. Pessoal'!F19</f>
        <v>88026.58</v>
      </c>
      <c r="G34" s="11">
        <f>'Prov. Pessoal'!G9-'Prov. Pessoal'!G19</f>
        <v>130005.57</v>
      </c>
      <c r="H34" s="11">
        <f>'Prov. Pessoal'!H9-'Prov. Pessoal'!H19</f>
        <v>97593.15</v>
      </c>
      <c r="I34" s="11">
        <f>'Prov. Pessoal'!I9-'Prov. Pessoal'!I19</f>
        <v>0</v>
      </c>
      <c r="J34" s="11">
        <f>'Prov. Pessoal'!J9-'Prov. Pessoal'!J19</f>
        <v>0</v>
      </c>
      <c r="K34" s="11">
        <f>'Prov. Pessoal'!K9-'Prov. Pessoal'!K19</f>
        <v>0</v>
      </c>
      <c r="L34" s="11">
        <f>'Prov. Pessoal'!L9-'Prov. Pessoal'!L19</f>
        <v>0</v>
      </c>
      <c r="M34" s="11">
        <f>'Prov. Pessoal'!M9-'Prov. Pessoal'!M19</f>
        <v>0</v>
      </c>
      <c r="N34" s="11">
        <f>'Prov. Pessoal'!N9-'Prov. Pessoal'!N19</f>
        <v>0</v>
      </c>
      <c r="O34" s="12">
        <f t="shared" si="6"/>
        <v>909076.68999999983</v>
      </c>
      <c r="P34" s="95">
        <f t="shared" si="7"/>
        <v>4.5527338136793855E-2</v>
      </c>
    </row>
    <row r="35" spans="1:16" ht="23.25" customHeight="1">
      <c r="A35" s="40" t="s">
        <v>223</v>
      </c>
      <c r="B35" s="39" t="s">
        <v>10</v>
      </c>
      <c r="C35" s="11">
        <f>'Prov. Pessoal'!C10-'Prov. Pessoal'!C20</f>
        <v>199316.41</v>
      </c>
      <c r="D35" s="11">
        <f>'Prov. Pessoal'!D10-'Prov. Pessoal'!D20</f>
        <v>0</v>
      </c>
      <c r="E35" s="11">
        <f>'Prov. Pessoal'!E10-'Prov. Pessoal'!E20</f>
        <v>-362305.81</v>
      </c>
      <c r="F35" s="11">
        <f>'Prov. Pessoal'!F10-'Prov. Pessoal'!F20</f>
        <v>415942.28</v>
      </c>
      <c r="G35" s="11">
        <f>'Prov. Pessoal'!G10-'Prov. Pessoal'!G20</f>
        <v>38476.550000000003</v>
      </c>
      <c r="H35" s="11">
        <f>'Prov. Pessoal'!H10-'Prov. Pessoal'!H20</f>
        <v>156781.38</v>
      </c>
      <c r="I35" s="11">
        <f>'Prov. Pessoal'!I10-'Prov. Pessoal'!I20</f>
        <v>0</v>
      </c>
      <c r="J35" s="11">
        <f>'Prov. Pessoal'!J10-'Prov. Pessoal'!J20</f>
        <v>0</v>
      </c>
      <c r="K35" s="11">
        <f>'Prov. Pessoal'!K10-'Prov. Pessoal'!K20</f>
        <v>0</v>
      </c>
      <c r="L35" s="11">
        <f>'Prov. Pessoal'!L10-'Prov. Pessoal'!L20</f>
        <v>0</v>
      </c>
      <c r="M35" s="11">
        <f>'Prov. Pessoal'!M10-'Prov. Pessoal'!M20</f>
        <v>0</v>
      </c>
      <c r="N35" s="11">
        <f>'Prov. Pessoal'!N10-'Prov. Pessoal'!N20</f>
        <v>0</v>
      </c>
      <c r="O35" s="12">
        <f t="shared" si="6"/>
        <v>448210.81000000006</v>
      </c>
      <c r="P35" s="95">
        <f t="shared" si="7"/>
        <v>2.2446780703876887E-2</v>
      </c>
    </row>
    <row r="36" spans="1:16" ht="23.25" customHeight="1">
      <c r="A36" s="40" t="s">
        <v>224</v>
      </c>
      <c r="B36" s="39" t="s">
        <v>246</v>
      </c>
      <c r="C36" s="11">
        <f>'Prov. Pessoal'!C11-'Prov. Pessoal'!C21</f>
        <v>478061.58</v>
      </c>
      <c r="D36" s="11">
        <f>'Prov. Pessoal'!D11-'Prov. Pessoal'!D21</f>
        <v>0</v>
      </c>
      <c r="E36" s="11">
        <f>'Prov. Pessoal'!E11-'Prov. Pessoal'!E21</f>
        <v>539072.11</v>
      </c>
      <c r="F36" s="11">
        <f>'Prov. Pessoal'!F11-'Prov. Pessoal'!F21</f>
        <v>97758.85</v>
      </c>
      <c r="G36" s="11">
        <f>'Prov. Pessoal'!G11-'Prov. Pessoal'!G21</f>
        <v>100858.53</v>
      </c>
      <c r="H36" s="11">
        <f>'Prov. Pessoal'!H11-'Prov. Pessoal'!H21</f>
        <v>88364.21</v>
      </c>
      <c r="I36" s="11">
        <f>'Prov. Pessoal'!I11-'Prov. Pessoal'!I21</f>
        <v>0</v>
      </c>
      <c r="J36" s="11">
        <f>'Prov. Pessoal'!J11-'Prov. Pessoal'!J21</f>
        <v>0</v>
      </c>
      <c r="K36" s="11">
        <f>'Prov. Pessoal'!K11-'Prov. Pessoal'!K21</f>
        <v>0</v>
      </c>
      <c r="L36" s="11">
        <f>'Prov. Pessoal'!L11-'Prov. Pessoal'!L21</f>
        <v>0</v>
      </c>
      <c r="M36" s="11">
        <f>'Prov. Pessoal'!M11-'Prov. Pessoal'!M21</f>
        <v>0</v>
      </c>
      <c r="N36" s="11">
        <f>'Prov. Pessoal'!N11-'Prov. Pessoal'!N21</f>
        <v>0</v>
      </c>
      <c r="O36" s="12">
        <f t="shared" si="6"/>
        <v>1304115.28</v>
      </c>
      <c r="P36" s="95">
        <f t="shared" si="7"/>
        <v>6.5311208586725081E-2</v>
      </c>
    </row>
    <row r="37" spans="1:16" ht="23.25" customHeight="1">
      <c r="A37" s="40" t="s">
        <v>225</v>
      </c>
      <c r="B37" s="39" t="s">
        <v>261</v>
      </c>
      <c r="C37" s="11">
        <f>'Prov. Pessoal'!C12-'Prov. Pessoal'!C22</f>
        <v>2653.25</v>
      </c>
      <c r="D37" s="11">
        <f>'Prov. Pessoal'!D12-'Prov. Pessoal'!D22</f>
        <v>18431</v>
      </c>
      <c r="E37" s="11">
        <f>'Prov. Pessoal'!E12-'Prov. Pessoal'!E22</f>
        <v>-1098191.05</v>
      </c>
      <c r="F37" s="11">
        <f>'Prov. Pessoal'!F12-'Prov. Pessoal'!F22</f>
        <v>103429.51999999999</v>
      </c>
      <c r="G37" s="11">
        <f>'Prov. Pessoal'!G12-'Prov. Pessoal'!G22</f>
        <v>112088.95</v>
      </c>
      <c r="H37" s="11">
        <f>'Prov. Pessoal'!H12-'Prov. Pessoal'!H22</f>
        <v>144661.37</v>
      </c>
      <c r="I37" s="11">
        <f>'Prov. Pessoal'!I12-'Prov. Pessoal'!I22</f>
        <v>0</v>
      </c>
      <c r="J37" s="11">
        <f>'Prov. Pessoal'!J12-'Prov. Pessoal'!J22</f>
        <v>0</v>
      </c>
      <c r="K37" s="11">
        <f>'Prov. Pessoal'!K12-'Prov. Pessoal'!K22</f>
        <v>0</v>
      </c>
      <c r="L37" s="11">
        <f>'Prov. Pessoal'!L12-'Prov. Pessoal'!L22</f>
        <v>0</v>
      </c>
      <c r="M37" s="11">
        <f>'Prov. Pessoal'!M12-'Prov. Pessoal'!M22</f>
        <v>0</v>
      </c>
      <c r="N37" s="11">
        <f>'Prov. Pessoal'!N12-'Prov. Pessoal'!N22</f>
        <v>0</v>
      </c>
      <c r="O37" s="12">
        <f>SUM(C37:N37)</f>
        <v>-716926.96000000008</v>
      </c>
      <c r="P37" s="95">
        <f t="shared" si="7"/>
        <v>-3.5904315319429975E-2</v>
      </c>
    </row>
    <row r="38" spans="1:16" ht="23.25" customHeight="1">
      <c r="A38" s="40" t="s">
        <v>226</v>
      </c>
      <c r="B38" s="39" t="s">
        <v>247</v>
      </c>
      <c r="C38" s="11">
        <f>'Prov. Pessoal'!C13-'Prov. Pessoal'!C23</f>
        <v>0</v>
      </c>
      <c r="D38" s="11">
        <f>'Prov. Pessoal'!D13-'Prov. Pessoal'!D23</f>
        <v>0</v>
      </c>
      <c r="E38" s="11">
        <f>'Prov. Pessoal'!E13-'Prov. Pessoal'!E23</f>
        <v>0</v>
      </c>
      <c r="F38" s="11">
        <f>'Prov. Pessoal'!F13-'Prov. Pessoal'!F23</f>
        <v>0</v>
      </c>
      <c r="G38" s="11">
        <f>'Prov. Pessoal'!G13-'Prov. Pessoal'!G23</f>
        <v>0</v>
      </c>
      <c r="H38" s="11">
        <f>'Prov. Pessoal'!H13-'Prov. Pessoal'!H23</f>
        <v>0</v>
      </c>
      <c r="I38" s="11">
        <f>'Prov. Pessoal'!I13-'Prov. Pessoal'!I23</f>
        <v>0</v>
      </c>
      <c r="J38" s="11">
        <f>'Prov. Pessoal'!J13-'Prov. Pessoal'!J23</f>
        <v>0</v>
      </c>
      <c r="K38" s="11">
        <f>'Prov. Pessoal'!K13-'Prov. Pessoal'!K23</f>
        <v>0</v>
      </c>
      <c r="L38" s="11">
        <f>'Prov. Pessoal'!L13-'Prov. Pessoal'!L23</f>
        <v>0</v>
      </c>
      <c r="M38" s="11">
        <f>'Prov. Pessoal'!M13-'Prov. Pessoal'!M23</f>
        <v>0</v>
      </c>
      <c r="N38" s="11">
        <f>'Prov. Pessoal'!N13-'Prov. Pessoal'!N23</f>
        <v>0</v>
      </c>
      <c r="O38" s="12">
        <f t="shared" si="6"/>
        <v>0</v>
      </c>
      <c r="P38" s="95">
        <f t="shared" si="7"/>
        <v>0</v>
      </c>
    </row>
    <row r="39" spans="1:16" ht="23.25" customHeight="1">
      <c r="A39" s="40" t="s">
        <v>227</v>
      </c>
      <c r="B39" s="39" t="s">
        <v>452</v>
      </c>
      <c r="C39" s="11">
        <f>'Prov. Pessoal'!C14-'Prov. Pessoal'!C24</f>
        <v>160281.86000000002</v>
      </c>
      <c r="D39" s="11">
        <f>'Prov. Pessoal'!D14-'Prov. Pessoal'!D24</f>
        <v>0</v>
      </c>
      <c r="E39" s="11">
        <f>'Prov. Pessoal'!E14-'Prov. Pessoal'!E24</f>
        <v>-235315.45</v>
      </c>
      <c r="F39" s="11">
        <f>'Prov. Pessoal'!F14-'Prov. Pessoal'!F24</f>
        <v>95436.829999999987</v>
      </c>
      <c r="G39" s="11">
        <f>'Prov. Pessoal'!G14-'Prov. Pessoal'!G24</f>
        <v>-28477.75</v>
      </c>
      <c r="H39" s="11">
        <f>'Prov. Pessoal'!H14-'Prov. Pessoal'!H24</f>
        <v>161574.83000000002</v>
      </c>
      <c r="I39" s="11">
        <f>'Prov. Pessoal'!I14-'Prov. Pessoal'!I24</f>
        <v>0</v>
      </c>
      <c r="J39" s="11">
        <f>'Prov. Pessoal'!J14-'Prov. Pessoal'!J24</f>
        <v>0</v>
      </c>
      <c r="K39" s="11">
        <f>'Prov. Pessoal'!K14-'Prov. Pessoal'!K24</f>
        <v>0</v>
      </c>
      <c r="L39" s="11">
        <f>'Prov. Pessoal'!L14-'Prov. Pessoal'!L24</f>
        <v>0</v>
      </c>
      <c r="M39" s="11">
        <f>'Prov. Pessoal'!M14-'Prov. Pessoal'!M24</f>
        <v>0</v>
      </c>
      <c r="N39" s="11">
        <f>'Prov. Pessoal'!N14-'Prov. Pessoal'!N24</f>
        <v>0</v>
      </c>
      <c r="O39" s="12">
        <f t="shared" si="6"/>
        <v>153500.32</v>
      </c>
      <c r="P39" s="95">
        <f t="shared" si="7"/>
        <v>7.6874273090712097E-3</v>
      </c>
    </row>
    <row r="40" spans="1:16" ht="23.25" customHeight="1">
      <c r="A40" s="40" t="s">
        <v>228</v>
      </c>
      <c r="B40" s="39" t="s">
        <v>163</v>
      </c>
      <c r="C40" s="11">
        <f>SUMPRODUCT((Diário!$E$4:$E$2662='Analítico Cp.'!$B40)*(Diário!$C$4:$C$2662&gt;=C$4)*(Diário!$C$4:$C$2662&lt;=EOMONTH(C$4,0))*(Diário!$F$4:$F$2662))
+SUMPRODUCT(('Comp.'!$D$5:$D$402=$B40)*('Comp.'!$B$5:$B$402&gt;=C$4)*('Comp.'!$B$5:$B$402&lt;=EOMONTH(C$4,0))*('Comp.'!$E$5:$E$402))</f>
        <v>1265.6100000000001</v>
      </c>
      <c r="D40" s="11">
        <f>SUMPRODUCT((Diário!$E$4:$E$2662='Analítico Cp.'!$B40)*(Diário!$C$4:$C$2662&gt;=D$4)*(Diário!$C$4:$C$2662&lt;=EOMONTH(D$4,0))*(Diário!$F$4:$F$2662))
+SUMPRODUCT(('Comp.'!$D$5:$D$402=$B40)*('Comp.'!$B$5:$B$402&gt;=D$4)*('Comp.'!$B$5:$B$402&lt;=EOMONTH(D$4,0))*('Comp.'!$E$5:$E$402))</f>
        <v>1353.8000000000002</v>
      </c>
      <c r="E40" s="11">
        <f>SUMPRODUCT((Diário!$E$4:$E$2662='Analítico Cp.'!$B40)*(Diário!$C$4:$C$2662&gt;=E$4)*(Diário!$C$4:$C$2662&lt;=EOMONTH(E$4,0))*(Diário!$F$4:$F$2662))
+SUMPRODUCT(('Comp.'!$D$5:$D$402=$B40)*('Comp.'!$B$5:$B$402&gt;=E$4)*('Comp.'!$B$5:$B$402&lt;=EOMONTH(E$4,0))*('Comp.'!$E$5:$E$402))</f>
        <v>1353.8</v>
      </c>
      <c r="F40" s="11">
        <f>SUMPRODUCT((Diário!$E$4:$E$2662='Analítico Cp.'!$B40)*(Diário!$C$4:$C$2662&gt;=F$4)*(Diário!$C$4:$C$2662&lt;=EOMONTH(F$4,0))*(Diário!$F$4:$F$2662))
+SUMPRODUCT(('Comp.'!$D$5:$D$402=$B40)*('Comp.'!$B$5:$B$402&gt;=F$4)*('Comp.'!$B$5:$B$402&lt;=EOMONTH(F$4,0))*('Comp.'!$E$5:$E$402))</f>
        <v>985.26999999999987</v>
      </c>
      <c r="G40" s="11">
        <f>SUMPRODUCT((Diário!$E$4:$E$2662='Analítico Cp.'!$B40)*(Diário!$C$4:$C$2662&gt;=G$4)*(Diário!$C$4:$C$2662&lt;=EOMONTH(G$4,0))*(Diário!$F$4:$F$2662))
+SUMPRODUCT(('Comp.'!$D$5:$D$402=$B40)*('Comp.'!$B$5:$B$402&gt;=G$4)*('Comp.'!$B$5:$B$402&lt;=EOMONTH(G$4,0))*('Comp.'!$E$5:$E$402))</f>
        <v>1734.8799999999999</v>
      </c>
      <c r="H40" s="11">
        <f>SUMPRODUCT((Diário!$E$4:$E$2662='Analítico Cp.'!$B40)*(Diário!$C$4:$C$2662&gt;=H$4)*(Diário!$C$4:$C$2662&lt;=EOMONTH(H$4,0))*(Diário!$F$4:$F$2662))
+SUMPRODUCT(('Comp.'!$D$5:$D$402=$B40)*('Comp.'!$B$5:$B$402&gt;=H$4)*('Comp.'!$B$5:$B$402&lt;=EOMONTH(H$4,0))*('Comp.'!$E$5:$E$402))</f>
        <v>1841.6799999999998</v>
      </c>
      <c r="I40" s="11">
        <f>SUMPRODUCT((Diário!$E$4:$E$2662='Analítico Cp.'!$B40)*(Diário!$C$4:$C$2662&gt;=I$4)*(Diário!$C$4:$C$2662&lt;=EOMONTH(I$4,0))*(Diário!$F$4:$F$2662))
+SUMPRODUCT(('Comp.'!$D$5:$D$402=$B40)*('Comp.'!$B$5:$B$402&gt;=I$4)*('Comp.'!$B$5:$B$402&lt;=EOMONTH(I$4,0))*('Comp.'!$E$5:$E$402))</f>
        <v>0</v>
      </c>
      <c r="J40" s="11">
        <f>SUMPRODUCT((Diário!$E$4:$E$2662='Analítico Cp.'!$B40)*(Diário!$C$4:$C$2662&gt;=J$4)*(Diário!$C$4:$C$2662&lt;=EOMONTH(J$4,0))*(Diário!$F$4:$F$2662))
+SUMPRODUCT(('Comp.'!$D$5:$D$402=$B40)*('Comp.'!$B$5:$B$402&gt;=J$4)*('Comp.'!$B$5:$B$402&lt;=EOMONTH(J$4,0))*('Comp.'!$E$5:$E$402))</f>
        <v>0</v>
      </c>
      <c r="K40" s="11">
        <f>SUMPRODUCT((Diário!$E$4:$E$2662='Analítico Cp.'!$B40)*(Diário!$C$4:$C$2662&gt;=K$4)*(Diário!$C$4:$C$2662&lt;=EOMONTH(K$4,0))*(Diário!$F$4:$F$2662))
+SUMPRODUCT(('Comp.'!$D$5:$D$402=$B40)*('Comp.'!$B$5:$B$402&gt;=K$4)*('Comp.'!$B$5:$B$402&lt;=EOMONTH(K$4,0))*('Comp.'!$E$5:$E$402))</f>
        <v>0</v>
      </c>
      <c r="L40" s="11">
        <f>SUMPRODUCT((Diário!$E$4:$E$2662='Analítico Cp.'!$B40)*(Diário!$C$4:$C$2662&gt;=L$4)*(Diário!$C$4:$C$2662&lt;=EOMONTH(L$4,0))*(Diário!$F$4:$F$2662))
+SUMPRODUCT(('Comp.'!$D$5:$D$402=$B40)*('Comp.'!$B$5:$B$402&gt;=L$4)*('Comp.'!$B$5:$B$402&lt;=EOMONTH(L$4,0))*('Comp.'!$E$5:$E$402))</f>
        <v>0</v>
      </c>
      <c r="M40" s="11">
        <f>SUMPRODUCT((Diário!$E$4:$E$2662='Analítico Cp.'!$B40)*(Diário!$C$4:$C$2662&gt;=M$4)*(Diário!$C$4:$C$2662&lt;=EOMONTH(M$4,0))*(Diário!$F$4:$F$2662))
+SUMPRODUCT(('Comp.'!$D$5:$D$402=$B40)*('Comp.'!$B$5:$B$402&gt;=M$4)*('Comp.'!$B$5:$B$402&lt;=EOMONTH(M$4,0))*('Comp.'!$E$5:$E$402))</f>
        <v>0</v>
      </c>
      <c r="N40" s="11">
        <f>SUMPRODUCT((Diário!$E$4:$E$2662='Analítico Cp.'!$B40)*(Diário!$C$4:$C$2662&gt;=N$4)*(Diário!$C$4:$C$2662&lt;=EOMONTH(N$4,0))*(Diário!$F$4:$F$2662))
+SUMPRODUCT(('Comp.'!$D$5:$D$402=$B40)*('Comp.'!$B$5:$B$402&gt;=N$4)*('Comp.'!$B$5:$B$402&lt;=EOMONTH(N$4,0))*('Comp.'!$E$5:$E$402))</f>
        <v>0</v>
      </c>
      <c r="O40" s="12">
        <f t="shared" si="6"/>
        <v>8535.0399999999991</v>
      </c>
      <c r="P40" s="95">
        <f t="shared" si="7"/>
        <v>4.2744210292209895E-4</v>
      </c>
    </row>
    <row r="41" spans="1:16" ht="23.25" customHeight="1">
      <c r="A41" s="40" t="s">
        <v>229</v>
      </c>
      <c r="B41" s="39" t="s">
        <v>160</v>
      </c>
      <c r="C41" s="11">
        <f>SUMPRODUCT((Diário!$E$4:$E$2662='Analítico Cp.'!$B41)*(Diário!$C$4:$C$2662&gt;=C$4)*(Diário!$C$4:$C$2662&lt;=EOMONTH(C$4,0))*(Diário!$F$4:$F$2662))
+SUMPRODUCT(('Comp.'!$D$5:$D$402=$B41)*('Comp.'!$B$5:$B$402&gt;=C$4)*('Comp.'!$B$5:$B$402&lt;=EOMONTH(C$4,0))*('Comp.'!$E$5:$E$402))</f>
        <v>0</v>
      </c>
      <c r="D41" s="11">
        <f>SUMPRODUCT((Diário!$E$4:$E$2662='Analítico Cp.'!$B41)*(Diário!$C$4:$C$2662&gt;=D$4)*(Diário!$C$4:$C$2662&lt;=EOMONTH(D$4,0))*(Diário!$F$4:$F$2662))
+SUMPRODUCT(('Comp.'!$D$5:$D$402=$B41)*('Comp.'!$B$5:$B$402&gt;=D$4)*('Comp.'!$B$5:$B$402&lt;=EOMONTH(D$4,0))*('Comp.'!$E$5:$E$402))</f>
        <v>0</v>
      </c>
      <c r="E41" s="11">
        <f>SUMPRODUCT((Diário!$E$4:$E$2662='Analítico Cp.'!$B41)*(Diário!$C$4:$C$2662&gt;=E$4)*(Diário!$C$4:$C$2662&lt;=EOMONTH(E$4,0))*(Diário!$F$4:$F$2662))
+SUMPRODUCT(('Comp.'!$D$5:$D$402=$B41)*('Comp.'!$B$5:$B$402&gt;=E$4)*('Comp.'!$B$5:$B$402&lt;=EOMONTH(E$4,0))*('Comp.'!$E$5:$E$402))</f>
        <v>14518.76</v>
      </c>
      <c r="F41" s="11">
        <f>SUMPRODUCT((Diário!$E$4:$E$2662='Analítico Cp.'!$B41)*(Diário!$C$4:$C$2662&gt;=F$4)*(Diário!$C$4:$C$2662&lt;=EOMONTH(F$4,0))*(Diário!$F$4:$F$2662))
+SUMPRODUCT(('Comp.'!$D$5:$D$402=$B41)*('Comp.'!$B$5:$B$402&gt;=F$4)*('Comp.'!$B$5:$B$402&lt;=EOMONTH(F$4,0))*('Comp.'!$E$5:$E$402))</f>
        <v>0</v>
      </c>
      <c r="G41" s="11">
        <f>SUMPRODUCT((Diário!$E$4:$E$2662='Analítico Cp.'!$B41)*(Diário!$C$4:$C$2662&gt;=G$4)*(Diário!$C$4:$C$2662&lt;=EOMONTH(G$4,0))*(Diário!$F$4:$F$2662))
+SUMPRODUCT(('Comp.'!$D$5:$D$402=$B41)*('Comp.'!$B$5:$B$402&gt;=G$4)*('Comp.'!$B$5:$B$402&lt;=EOMONTH(G$4,0))*('Comp.'!$E$5:$E$402))</f>
        <v>318.83999999999997</v>
      </c>
      <c r="H41" s="11">
        <f>SUMPRODUCT((Diário!$E$4:$E$2662='Analítico Cp.'!$B41)*(Diário!$C$4:$C$2662&gt;=H$4)*(Diário!$C$4:$C$2662&lt;=EOMONTH(H$4,0))*(Diário!$F$4:$F$2662))
+SUMPRODUCT(('Comp.'!$D$5:$D$402=$B41)*('Comp.'!$B$5:$B$402&gt;=H$4)*('Comp.'!$B$5:$B$402&lt;=EOMONTH(H$4,0))*('Comp.'!$E$5:$E$402))</f>
        <v>0</v>
      </c>
      <c r="I41" s="11">
        <f>SUMPRODUCT((Diário!$E$4:$E$2662='Analítico Cp.'!$B41)*(Diário!$C$4:$C$2662&gt;=I$4)*(Diário!$C$4:$C$2662&lt;=EOMONTH(I$4,0))*(Diário!$F$4:$F$2662))
+SUMPRODUCT(('Comp.'!$D$5:$D$402=$B41)*('Comp.'!$B$5:$B$402&gt;=I$4)*('Comp.'!$B$5:$B$402&lt;=EOMONTH(I$4,0))*('Comp.'!$E$5:$E$402))</f>
        <v>0</v>
      </c>
      <c r="J41" s="11">
        <f>SUMPRODUCT((Diário!$E$4:$E$2662='Analítico Cp.'!$B41)*(Diário!$C$4:$C$2662&gt;=J$4)*(Diário!$C$4:$C$2662&lt;=EOMONTH(J$4,0))*(Diário!$F$4:$F$2662))
+SUMPRODUCT(('Comp.'!$D$5:$D$402=$B41)*('Comp.'!$B$5:$B$402&gt;=J$4)*('Comp.'!$B$5:$B$402&lt;=EOMONTH(J$4,0))*('Comp.'!$E$5:$E$402))</f>
        <v>0</v>
      </c>
      <c r="K41" s="11">
        <f>SUMPRODUCT((Diário!$E$4:$E$2662='Analítico Cp.'!$B41)*(Diário!$C$4:$C$2662&gt;=K$4)*(Diário!$C$4:$C$2662&lt;=EOMONTH(K$4,0))*(Diário!$F$4:$F$2662))
+SUMPRODUCT(('Comp.'!$D$5:$D$402=$B41)*('Comp.'!$B$5:$B$402&gt;=K$4)*('Comp.'!$B$5:$B$402&lt;=EOMONTH(K$4,0))*('Comp.'!$E$5:$E$402))</f>
        <v>0</v>
      </c>
      <c r="L41" s="11">
        <f>SUMPRODUCT((Diário!$E$4:$E$2662='Analítico Cp.'!$B41)*(Diário!$C$4:$C$2662&gt;=L$4)*(Diário!$C$4:$C$2662&lt;=EOMONTH(L$4,0))*(Diário!$F$4:$F$2662))
+SUMPRODUCT(('Comp.'!$D$5:$D$402=$B41)*('Comp.'!$B$5:$B$402&gt;=L$4)*('Comp.'!$B$5:$B$402&lt;=EOMONTH(L$4,0))*('Comp.'!$E$5:$E$402))</f>
        <v>0</v>
      </c>
      <c r="M41" s="11">
        <f>SUMPRODUCT((Diário!$E$4:$E$2662='Analítico Cp.'!$B41)*(Diário!$C$4:$C$2662&gt;=M$4)*(Diário!$C$4:$C$2662&lt;=EOMONTH(M$4,0))*(Diário!$F$4:$F$2662))
+SUMPRODUCT(('Comp.'!$D$5:$D$402=$B41)*('Comp.'!$B$5:$B$402&gt;=M$4)*('Comp.'!$B$5:$B$402&lt;=EOMONTH(M$4,0))*('Comp.'!$E$5:$E$402))</f>
        <v>0</v>
      </c>
      <c r="N41" s="11">
        <f>SUMPRODUCT((Diário!$E$4:$E$2662='Analítico Cp.'!$B41)*(Diário!$C$4:$C$2662&gt;=N$4)*(Diário!$C$4:$C$2662&lt;=EOMONTH(N$4,0))*(Diário!$F$4:$F$2662))
+SUMPRODUCT(('Comp.'!$D$5:$D$402=$B41)*('Comp.'!$B$5:$B$402&gt;=N$4)*('Comp.'!$B$5:$B$402&lt;=EOMONTH(N$4,0))*('Comp.'!$E$5:$E$402))</f>
        <v>0</v>
      </c>
      <c r="O41" s="12">
        <f t="shared" si="6"/>
        <v>14837.6</v>
      </c>
      <c r="P41" s="95">
        <f t="shared" si="7"/>
        <v>7.4307969808189958E-4</v>
      </c>
    </row>
    <row r="42" spans="1:16" s="21" customFormat="1" ht="23.25" customHeight="1">
      <c r="A42" s="40" t="s">
        <v>230</v>
      </c>
      <c r="B42" s="38" t="s">
        <v>267</v>
      </c>
      <c r="C42" s="11">
        <f>SUMPRODUCT((Diário!$E$4:$E$2662='Analítico Cp.'!$B42)*(Diário!$C$4:$C$2662&gt;=C$4)*(Diário!$C$4:$C$2662&lt;=EOMONTH(C$4,0))*(Diário!$F$4:$F$2662))
+SUMPRODUCT(('Comp.'!$D$5:$D$402=$B42)*('Comp.'!$B$5:$B$402&gt;=C$4)*('Comp.'!$B$5:$B$402&lt;=EOMONTH(C$4,0))*('Comp.'!$E$5:$E$402))</f>
        <v>0</v>
      </c>
      <c r="D42" s="11">
        <f>SUMPRODUCT((Diário!$E$4:$E$2662='Analítico Cp.'!$B42)*(Diário!$C$4:$C$2662&gt;=D$4)*(Diário!$C$4:$C$2662&lt;=EOMONTH(D$4,0))*(Diário!$F$4:$F$2662))
+SUMPRODUCT(('Comp.'!$D$5:$D$402=$B42)*('Comp.'!$B$5:$B$402&gt;=D$4)*('Comp.'!$B$5:$B$402&lt;=EOMONTH(D$4,0))*('Comp.'!$E$5:$E$402))</f>
        <v>0</v>
      </c>
      <c r="E42" s="11">
        <f>SUMPRODUCT((Diário!$E$4:$E$2662='Analítico Cp.'!$B42)*(Diário!$C$4:$C$2662&gt;=E$4)*(Diário!$C$4:$C$2662&lt;=EOMONTH(E$4,0))*(Diário!$F$4:$F$2662))
+SUMPRODUCT(('Comp.'!$D$5:$D$402=$B42)*('Comp.'!$B$5:$B$402&gt;=E$4)*('Comp.'!$B$5:$B$402&lt;=EOMONTH(E$4,0))*('Comp.'!$E$5:$E$402))</f>
        <v>0</v>
      </c>
      <c r="F42" s="11">
        <f>SUMPRODUCT((Diário!$E$4:$E$2662='Analítico Cp.'!$B42)*(Diário!$C$4:$C$2662&gt;=F$4)*(Diário!$C$4:$C$2662&lt;=EOMONTH(F$4,0))*(Diário!$F$4:$F$2662))
+SUMPRODUCT(('Comp.'!$D$5:$D$402=$B42)*('Comp.'!$B$5:$B$402&gt;=F$4)*('Comp.'!$B$5:$B$402&lt;=EOMONTH(F$4,0))*('Comp.'!$E$5:$E$402))</f>
        <v>0</v>
      </c>
      <c r="G42" s="11">
        <f>SUMPRODUCT((Diário!$E$4:$E$2662='Analítico Cp.'!$B42)*(Diário!$C$4:$C$2662&gt;=G$4)*(Diário!$C$4:$C$2662&lt;=EOMONTH(G$4,0))*(Diário!$F$4:$F$2662))
+SUMPRODUCT(('Comp.'!$D$5:$D$402=$B42)*('Comp.'!$B$5:$B$402&gt;=G$4)*('Comp.'!$B$5:$B$402&lt;=EOMONTH(G$4,0))*('Comp.'!$E$5:$E$402))</f>
        <v>0</v>
      </c>
      <c r="H42" s="11">
        <f>SUMPRODUCT((Diário!$E$4:$E$2662='Analítico Cp.'!$B42)*(Diário!$C$4:$C$2662&gt;=H$4)*(Diário!$C$4:$C$2662&lt;=EOMONTH(H$4,0))*(Diário!$F$4:$F$2662))
+SUMPRODUCT(('Comp.'!$D$5:$D$402=$B42)*('Comp.'!$B$5:$B$402&gt;=H$4)*('Comp.'!$B$5:$B$402&lt;=EOMONTH(H$4,0))*('Comp.'!$E$5:$E$402))</f>
        <v>0</v>
      </c>
      <c r="I42" s="11">
        <f>SUMPRODUCT((Diário!$E$4:$E$2662='Analítico Cp.'!$B42)*(Diário!$C$4:$C$2662&gt;=I$4)*(Diário!$C$4:$C$2662&lt;=EOMONTH(I$4,0))*(Diário!$F$4:$F$2662))
+SUMPRODUCT(('Comp.'!$D$5:$D$402=$B42)*('Comp.'!$B$5:$B$402&gt;=I$4)*('Comp.'!$B$5:$B$402&lt;=EOMONTH(I$4,0))*('Comp.'!$E$5:$E$402))</f>
        <v>0</v>
      </c>
      <c r="J42" s="11">
        <f>SUMPRODUCT((Diário!$E$4:$E$2662='Analítico Cp.'!$B42)*(Diário!$C$4:$C$2662&gt;=J$4)*(Diário!$C$4:$C$2662&lt;=EOMONTH(J$4,0))*(Diário!$F$4:$F$2662))
+SUMPRODUCT(('Comp.'!$D$5:$D$402=$B42)*('Comp.'!$B$5:$B$402&gt;=J$4)*('Comp.'!$B$5:$B$402&lt;=EOMONTH(J$4,0))*('Comp.'!$E$5:$E$402))</f>
        <v>0</v>
      </c>
      <c r="K42" s="11">
        <f>SUMPRODUCT((Diário!$E$4:$E$2662='Analítico Cp.'!$B42)*(Diário!$C$4:$C$2662&gt;=K$4)*(Diário!$C$4:$C$2662&lt;=EOMONTH(K$4,0))*(Diário!$F$4:$F$2662))
+SUMPRODUCT(('Comp.'!$D$5:$D$402=$B42)*('Comp.'!$B$5:$B$402&gt;=K$4)*('Comp.'!$B$5:$B$402&lt;=EOMONTH(K$4,0))*('Comp.'!$E$5:$E$402))</f>
        <v>0</v>
      </c>
      <c r="L42" s="11">
        <f>SUMPRODUCT((Diário!$E$4:$E$2662='Analítico Cp.'!$B42)*(Diário!$C$4:$C$2662&gt;=L$4)*(Diário!$C$4:$C$2662&lt;=EOMONTH(L$4,0))*(Diário!$F$4:$F$2662))
+SUMPRODUCT(('Comp.'!$D$5:$D$402=$B42)*('Comp.'!$B$5:$B$402&gt;=L$4)*('Comp.'!$B$5:$B$402&lt;=EOMONTH(L$4,0))*('Comp.'!$E$5:$E$402))</f>
        <v>0</v>
      </c>
      <c r="M42" s="11">
        <f>SUMPRODUCT((Diário!$E$4:$E$2662='Analítico Cp.'!$B42)*(Diário!$C$4:$C$2662&gt;=M$4)*(Diário!$C$4:$C$2662&lt;=EOMONTH(M$4,0))*(Diário!$F$4:$F$2662))
+SUMPRODUCT(('Comp.'!$D$5:$D$402=$B42)*('Comp.'!$B$5:$B$402&gt;=M$4)*('Comp.'!$B$5:$B$402&lt;=EOMONTH(M$4,0))*('Comp.'!$E$5:$E$402))</f>
        <v>0</v>
      </c>
      <c r="N42" s="11">
        <f>SUMPRODUCT((Diário!$E$4:$E$2662='Analítico Cp.'!$B42)*(Diário!$C$4:$C$2662&gt;=N$4)*(Diário!$C$4:$C$2662&lt;=EOMONTH(N$4,0))*(Diário!$F$4:$F$2662))
+SUMPRODUCT(('Comp.'!$D$5:$D$402=$B42)*('Comp.'!$B$5:$B$402&gt;=N$4)*('Comp.'!$B$5:$B$402&lt;=EOMONTH(N$4,0))*('Comp.'!$E$5:$E$402))</f>
        <v>0</v>
      </c>
      <c r="O42" s="12">
        <f>SUM(C42:N42)</f>
        <v>0</v>
      </c>
      <c r="P42" s="95">
        <f t="shared" si="7"/>
        <v>0</v>
      </c>
    </row>
    <row r="43" spans="1:16" ht="23.25" customHeight="1">
      <c r="A43" s="17"/>
      <c r="B43" s="18" t="s">
        <v>102</v>
      </c>
      <c r="C43" s="13">
        <f t="shared" ref="C43:O43" si="8">SUBTOTAL(109,C32:C42)</f>
        <v>1471475.2800000003</v>
      </c>
      <c r="D43" s="13">
        <f t="shared" si="8"/>
        <v>724207.22</v>
      </c>
      <c r="E43" s="13">
        <f t="shared" si="8"/>
        <v>-901098.69</v>
      </c>
      <c r="F43" s="13">
        <f t="shared" si="8"/>
        <v>1292406.53</v>
      </c>
      <c r="G43" s="13">
        <f t="shared" si="8"/>
        <v>875043.89</v>
      </c>
      <c r="H43" s="13">
        <f t="shared" si="8"/>
        <v>1068407.5899999999</v>
      </c>
      <c r="I43" s="13">
        <f t="shared" si="8"/>
        <v>0</v>
      </c>
      <c r="J43" s="13">
        <f t="shared" si="8"/>
        <v>0</v>
      </c>
      <c r="K43" s="13">
        <f t="shared" si="8"/>
        <v>0</v>
      </c>
      <c r="L43" s="13">
        <f t="shared" si="8"/>
        <v>0</v>
      </c>
      <c r="M43" s="13">
        <f t="shared" si="8"/>
        <v>0</v>
      </c>
      <c r="N43" s="13">
        <f t="shared" si="8"/>
        <v>0</v>
      </c>
      <c r="O43" s="13">
        <f t="shared" si="8"/>
        <v>4530441.82</v>
      </c>
      <c r="P43" s="97">
        <f t="shared" si="7"/>
        <v>0.22688840107451419</v>
      </c>
    </row>
    <row r="44" spans="1:16" ht="23.25" customHeight="1">
      <c r="A44" s="203" t="s">
        <v>14</v>
      </c>
      <c r="B44" s="219" t="s">
        <v>37</v>
      </c>
      <c r="C44" s="247"/>
      <c r="D44" s="247"/>
      <c r="E44" s="247"/>
      <c r="F44" s="247"/>
      <c r="G44" s="247"/>
      <c r="H44" s="247"/>
      <c r="I44" s="247"/>
      <c r="J44" s="247"/>
      <c r="K44" s="247"/>
      <c r="L44" s="247"/>
      <c r="M44" s="247"/>
      <c r="N44" s="247"/>
      <c r="O44" s="247"/>
      <c r="P44" s="204"/>
    </row>
    <row r="45" spans="1:16" ht="23.25" customHeight="1">
      <c r="A45" s="202" t="s">
        <v>97</v>
      </c>
      <c r="B45" s="39" t="s">
        <v>148</v>
      </c>
      <c r="C45" s="11">
        <f>SUMPRODUCT((Diário!$E$4:$E$2662='Analítico Cp.'!$B45)*(Diário!$C$4:$C$2662&gt;=C$4)*(Diário!$C$4:$C$2662&lt;=EOMONTH(C$4,0))*(Diário!$F$4:$F$2662))
+SUMPRODUCT(('Comp.'!$D$5:$D$402=$B45)*('Comp.'!$B$5:$B$402&gt;=C$4)*('Comp.'!$B$5:$B$402&lt;=EOMONTH(C$4,0))*('Comp.'!$E$5:$E$402))</f>
        <v>4615.3900000000003</v>
      </c>
      <c r="D45" s="11">
        <f>SUMPRODUCT((Diário!$E$4:$E$2662='Analítico Cp.'!$B45)*(Diário!$C$4:$C$2662&gt;=D$4)*(Diário!$C$4:$C$2662&lt;=EOMONTH(D$4,0))*(Diário!$F$4:$F$2662))
+SUMPRODUCT(('Comp.'!$D$5:$D$402=$B45)*('Comp.'!$B$5:$B$402&gt;=D$4)*('Comp.'!$B$5:$B$402&lt;=EOMONTH(D$4,0))*('Comp.'!$E$5:$E$402))</f>
        <v>7480.2900000000009</v>
      </c>
      <c r="E45" s="11">
        <f>SUMPRODUCT((Diário!$E$4:$E$2662='Analítico Cp.'!$B45)*(Diário!$C$4:$C$2662&gt;=E$4)*(Diário!$C$4:$C$2662&lt;=EOMONTH(E$4,0))*(Diário!$F$4:$F$2662))
+SUMPRODUCT(('Comp.'!$D$5:$D$402=$B45)*('Comp.'!$B$5:$B$402&gt;=E$4)*('Comp.'!$B$5:$B$402&lt;=EOMONTH(E$4,0))*('Comp.'!$E$5:$E$402))</f>
        <v>5829.6600000000008</v>
      </c>
      <c r="F45" s="11">
        <f>SUMPRODUCT((Diário!$E$4:$E$2662='Analítico Cp.'!$B45)*(Diário!$C$4:$C$2662&gt;=F$4)*(Diário!$C$4:$C$2662&lt;=EOMONTH(F$4,0))*(Diário!$F$4:$F$2662))
+SUMPRODUCT(('Comp.'!$D$5:$D$402=$B45)*('Comp.'!$B$5:$B$402&gt;=F$4)*('Comp.'!$B$5:$B$402&lt;=EOMONTH(F$4,0))*('Comp.'!$E$5:$E$402))</f>
        <v>5978.96</v>
      </c>
      <c r="G45" s="11">
        <f>SUMPRODUCT((Diário!$E$4:$E$2662='Analítico Cp.'!$B45)*(Diário!$C$4:$C$2662&gt;=G$4)*(Diário!$C$4:$C$2662&lt;=EOMONTH(G$4,0))*(Diário!$F$4:$F$2662))
+SUMPRODUCT(('Comp.'!$D$5:$D$402=$B45)*('Comp.'!$B$5:$B$402&gt;=G$4)*('Comp.'!$B$5:$B$402&lt;=EOMONTH(G$4,0))*('Comp.'!$E$5:$E$402))</f>
        <v>6313.05</v>
      </c>
      <c r="H45" s="11">
        <f>SUMPRODUCT((Diário!$E$4:$E$2662='Analítico Cp.'!$B45)*(Diário!$C$4:$C$2662&gt;=H$4)*(Diário!$C$4:$C$2662&lt;=EOMONTH(H$4,0))*(Diário!$F$4:$F$2662))
+SUMPRODUCT(('Comp.'!$D$5:$D$402=$B45)*('Comp.'!$B$5:$B$402&gt;=H$4)*('Comp.'!$B$5:$B$402&lt;=EOMONTH(H$4,0))*('Comp.'!$E$5:$E$402))</f>
        <v>17.29</v>
      </c>
      <c r="I45" s="11">
        <f>SUMPRODUCT((Diário!$E$4:$E$2662='Analítico Cp.'!$B45)*(Diário!$C$4:$C$2662&gt;=I$4)*(Diário!$C$4:$C$2662&lt;=EOMONTH(I$4,0))*(Diário!$F$4:$F$2662))
+SUMPRODUCT(('Comp.'!$D$5:$D$402=$B45)*('Comp.'!$B$5:$B$402&gt;=I$4)*('Comp.'!$B$5:$B$402&lt;=EOMONTH(I$4,0))*('Comp.'!$E$5:$E$402))</f>
        <v>7489.68</v>
      </c>
      <c r="J45" s="11">
        <f>SUMPRODUCT((Diário!$E$4:$E$2662='Analítico Cp.'!$B45)*(Diário!$C$4:$C$2662&gt;=J$4)*(Diário!$C$4:$C$2662&lt;=EOMONTH(J$4,0))*(Diário!$F$4:$F$2662))
+SUMPRODUCT(('Comp.'!$D$5:$D$402=$B45)*('Comp.'!$B$5:$B$402&gt;=J$4)*('Comp.'!$B$5:$B$402&lt;=EOMONTH(J$4,0))*('Comp.'!$E$5:$E$402))</f>
        <v>0</v>
      </c>
      <c r="K45" s="11">
        <f>SUMPRODUCT((Diário!$E$4:$E$2662='Analítico Cp.'!$B45)*(Diário!$C$4:$C$2662&gt;=K$4)*(Diário!$C$4:$C$2662&lt;=EOMONTH(K$4,0))*(Diário!$F$4:$F$2662))
+SUMPRODUCT(('Comp.'!$D$5:$D$402=$B45)*('Comp.'!$B$5:$B$402&gt;=K$4)*('Comp.'!$B$5:$B$402&lt;=EOMONTH(K$4,0))*('Comp.'!$E$5:$E$402))</f>
        <v>0</v>
      </c>
      <c r="L45" s="11">
        <f>SUMPRODUCT((Diário!$E$4:$E$2662='Analítico Cp.'!$B45)*(Diário!$C$4:$C$2662&gt;=L$4)*(Diário!$C$4:$C$2662&lt;=EOMONTH(L$4,0))*(Diário!$F$4:$F$2662))
+SUMPRODUCT(('Comp.'!$D$5:$D$402=$B45)*('Comp.'!$B$5:$B$402&gt;=L$4)*('Comp.'!$B$5:$B$402&lt;=EOMONTH(L$4,0))*('Comp.'!$E$5:$E$402))</f>
        <v>0</v>
      </c>
      <c r="M45" s="11">
        <f>SUMPRODUCT((Diário!$E$4:$E$2662='Analítico Cp.'!$B45)*(Diário!$C$4:$C$2662&gt;=M$4)*(Diário!$C$4:$C$2662&lt;=EOMONTH(M$4,0))*(Diário!$F$4:$F$2662))
+SUMPRODUCT(('Comp.'!$D$5:$D$402=$B45)*('Comp.'!$B$5:$B$402&gt;=M$4)*('Comp.'!$B$5:$B$402&lt;=EOMONTH(M$4,0))*('Comp.'!$E$5:$E$402))</f>
        <v>0</v>
      </c>
      <c r="N45" s="11">
        <f>SUMPRODUCT((Diário!$E$4:$E$2662='Analítico Cp.'!$B45)*(Diário!$C$4:$C$2662&gt;=N$4)*(Diário!$C$4:$C$2662&lt;=EOMONTH(N$4,0))*(Diário!$F$4:$F$2662))
+SUMPRODUCT(('Comp.'!$D$5:$D$402=$B45)*('Comp.'!$B$5:$B$402&gt;=N$4)*('Comp.'!$B$5:$B$402&lt;=EOMONTH(N$4,0))*('Comp.'!$E$5:$E$402))</f>
        <v>0</v>
      </c>
      <c r="O45" s="12">
        <f t="shared" ref="O45:O53" si="9">SUM(C45:N45)</f>
        <v>37724.32</v>
      </c>
      <c r="P45" s="95">
        <f t="shared" ref="P45:P55" si="10">IF($O$189=0,0,O45/$O$189)</f>
        <v>1.8892662098954659E-3</v>
      </c>
    </row>
    <row r="46" spans="1:16" ht="23.25" customHeight="1">
      <c r="A46" s="202" t="s">
        <v>98</v>
      </c>
      <c r="B46" s="39" t="s">
        <v>6</v>
      </c>
      <c r="C46" s="11">
        <f>SUMPRODUCT((Diário!$E$4:$E$2662='Analítico Cp.'!$B46)*(Diário!$C$4:$C$2662&gt;=C$4)*(Diário!$C$4:$C$2662&lt;=EOMONTH(C$4,0))*(Diário!$F$4:$F$2662))
+SUMPRODUCT(('Comp.'!$D$5:$D$402=$B46)*('Comp.'!$B$5:$B$402&gt;=C$4)*('Comp.'!$B$5:$B$402&lt;=EOMONTH(C$4,0))*('Comp.'!$E$5:$E$402))</f>
        <v>267816.71999999997</v>
      </c>
      <c r="D46" s="11">
        <f>SUMPRODUCT((Diário!$E$4:$E$2662='Analítico Cp.'!$B46)*(Diário!$C$4:$C$2662&gt;=D$4)*(Diário!$C$4:$C$2662&lt;=EOMONTH(D$4,0))*(Diário!$F$4:$F$2662))
+SUMPRODUCT(('Comp.'!$D$5:$D$402=$B46)*('Comp.'!$B$5:$B$402&gt;=D$4)*('Comp.'!$B$5:$B$402&lt;=EOMONTH(D$4,0))*('Comp.'!$E$5:$E$402))</f>
        <v>920</v>
      </c>
      <c r="E46" s="11">
        <f>SUMPRODUCT((Diário!$E$4:$E$2662='Analítico Cp.'!$B46)*(Diário!$C$4:$C$2662&gt;=E$4)*(Diário!$C$4:$C$2662&lt;=EOMONTH(E$4,0))*(Diário!$F$4:$F$2662))
+SUMPRODUCT(('Comp.'!$D$5:$D$402=$B46)*('Comp.'!$B$5:$B$402&gt;=E$4)*('Comp.'!$B$5:$B$402&lt;=EOMONTH(E$4,0))*('Comp.'!$E$5:$E$402))</f>
        <v>135358.40000000002</v>
      </c>
      <c r="F46" s="11">
        <f>SUMPRODUCT((Diário!$E$4:$E$2662='Analítico Cp.'!$B46)*(Diário!$C$4:$C$2662&gt;=F$4)*(Diário!$C$4:$C$2662&lt;=EOMONTH(F$4,0))*(Diário!$F$4:$F$2662))
+SUMPRODUCT(('Comp.'!$D$5:$D$402=$B46)*('Comp.'!$B$5:$B$402&gt;=F$4)*('Comp.'!$B$5:$B$402&lt;=EOMONTH(F$4,0))*('Comp.'!$E$5:$E$402))</f>
        <v>132111</v>
      </c>
      <c r="G46" s="11">
        <f>SUMPRODUCT((Diário!$E$4:$E$2662='Analítico Cp.'!$B46)*(Diário!$C$4:$C$2662&gt;=G$4)*(Diário!$C$4:$C$2662&lt;=EOMONTH(G$4,0))*(Diário!$F$4:$F$2662))
+SUMPRODUCT(('Comp.'!$D$5:$D$402=$B46)*('Comp.'!$B$5:$B$402&gt;=G$4)*('Comp.'!$B$5:$B$402&lt;=EOMONTH(G$4,0))*('Comp.'!$E$5:$E$402))</f>
        <v>135454.16</v>
      </c>
      <c r="H46" s="11">
        <f>SUMPRODUCT((Diário!$E$4:$E$2662='Analítico Cp.'!$B46)*(Diário!$C$4:$C$2662&gt;=H$4)*(Diário!$C$4:$C$2662&lt;=EOMONTH(H$4,0))*(Diário!$F$4:$F$2662))
+SUMPRODUCT(('Comp.'!$D$5:$D$402=$B46)*('Comp.'!$B$5:$B$402&gt;=H$4)*('Comp.'!$B$5:$B$402&lt;=EOMONTH(H$4,0))*('Comp.'!$E$5:$E$402))</f>
        <v>-24.189999999999998</v>
      </c>
      <c r="I46" s="11">
        <f>SUMPRODUCT((Diário!$E$4:$E$2662='Analítico Cp.'!$B46)*(Diário!$C$4:$C$2662&gt;=I$4)*(Diário!$C$4:$C$2662&lt;=EOMONTH(I$4,0))*(Diário!$F$4:$F$2662))
+SUMPRODUCT(('Comp.'!$D$5:$D$402=$B46)*('Comp.'!$B$5:$B$402&gt;=I$4)*('Comp.'!$B$5:$B$402&lt;=EOMONTH(I$4,0))*('Comp.'!$E$5:$E$402))</f>
        <v>131510.03</v>
      </c>
      <c r="J46" s="11">
        <f>SUMPRODUCT((Diário!$E$4:$E$2662='Analítico Cp.'!$B46)*(Diário!$C$4:$C$2662&gt;=J$4)*(Diário!$C$4:$C$2662&lt;=EOMONTH(J$4,0))*(Diário!$F$4:$F$2662))
+SUMPRODUCT(('Comp.'!$D$5:$D$402=$B46)*('Comp.'!$B$5:$B$402&gt;=J$4)*('Comp.'!$B$5:$B$402&lt;=EOMONTH(J$4,0))*('Comp.'!$E$5:$E$402))</f>
        <v>0</v>
      </c>
      <c r="K46" s="11">
        <f>SUMPRODUCT((Diário!$E$4:$E$2662='Analítico Cp.'!$B46)*(Diário!$C$4:$C$2662&gt;=K$4)*(Diário!$C$4:$C$2662&lt;=EOMONTH(K$4,0))*(Diário!$F$4:$F$2662))
+SUMPRODUCT(('Comp.'!$D$5:$D$402=$B46)*('Comp.'!$B$5:$B$402&gt;=K$4)*('Comp.'!$B$5:$B$402&lt;=EOMONTH(K$4,0))*('Comp.'!$E$5:$E$402))</f>
        <v>0</v>
      </c>
      <c r="L46" s="11">
        <f>SUMPRODUCT((Diário!$E$4:$E$2662='Analítico Cp.'!$B46)*(Diário!$C$4:$C$2662&gt;=L$4)*(Diário!$C$4:$C$2662&lt;=EOMONTH(L$4,0))*(Diário!$F$4:$F$2662))
+SUMPRODUCT(('Comp.'!$D$5:$D$402=$B46)*('Comp.'!$B$5:$B$402&gt;=L$4)*('Comp.'!$B$5:$B$402&lt;=EOMONTH(L$4,0))*('Comp.'!$E$5:$E$402))</f>
        <v>0</v>
      </c>
      <c r="M46" s="11">
        <f>SUMPRODUCT((Diário!$E$4:$E$2662='Analítico Cp.'!$B46)*(Diário!$C$4:$C$2662&gt;=M$4)*(Diário!$C$4:$C$2662&lt;=EOMONTH(M$4,0))*(Diário!$F$4:$F$2662))
+SUMPRODUCT(('Comp.'!$D$5:$D$402=$B46)*('Comp.'!$B$5:$B$402&gt;=M$4)*('Comp.'!$B$5:$B$402&lt;=EOMONTH(M$4,0))*('Comp.'!$E$5:$E$402))</f>
        <v>0</v>
      </c>
      <c r="N46" s="11">
        <f>SUMPRODUCT((Diário!$E$4:$E$2662='Analítico Cp.'!$B46)*(Diário!$C$4:$C$2662&gt;=N$4)*(Diário!$C$4:$C$2662&lt;=EOMONTH(N$4,0))*(Diário!$F$4:$F$2662))
+SUMPRODUCT(('Comp.'!$D$5:$D$402=$B46)*('Comp.'!$B$5:$B$402&gt;=N$4)*('Comp.'!$B$5:$B$402&lt;=EOMONTH(N$4,0))*('Comp.'!$E$5:$E$402))</f>
        <v>0</v>
      </c>
      <c r="O46" s="12">
        <f t="shared" si="9"/>
        <v>803146.12000000011</v>
      </c>
      <c r="P46" s="95">
        <f t="shared" si="10"/>
        <v>4.0222244592471097E-2</v>
      </c>
    </row>
    <row r="47" spans="1:16" ht="23.25" customHeight="1">
      <c r="A47" s="202" t="s">
        <v>99</v>
      </c>
      <c r="B47" s="39" t="s">
        <v>287</v>
      </c>
      <c r="C47" s="11">
        <f>SUMPRODUCT((Diário!$E$4:$E$2662='Analítico Cp.'!$B47)*(Diário!$C$4:$C$2662&gt;=C$4)*(Diário!$C$4:$C$2662&lt;=EOMONTH(C$4,0))*(Diário!$F$4:$F$2662))
+SUMPRODUCT(('Comp.'!$D$5:$D$402=$B47)*('Comp.'!$B$5:$B$402&gt;=C$4)*('Comp.'!$B$5:$B$402&lt;=EOMONTH(C$4,0))*('Comp.'!$E$5:$E$402))</f>
        <v>125239.64000000001</v>
      </c>
      <c r="D47" s="11">
        <f>SUMPRODUCT((Diário!$E$4:$E$2662='Analítico Cp.'!$B47)*(Diário!$C$4:$C$2662&gt;=D$4)*(Diário!$C$4:$C$2662&lt;=EOMONTH(D$4,0))*(Diário!$F$4:$F$2662))
+SUMPRODUCT(('Comp.'!$D$5:$D$402=$B47)*('Comp.'!$B$5:$B$402&gt;=D$4)*('Comp.'!$B$5:$B$402&lt;=EOMONTH(D$4,0))*('Comp.'!$E$5:$E$402))</f>
        <v>123659.35999999999</v>
      </c>
      <c r="E47" s="11">
        <f>SUMPRODUCT((Diário!$E$4:$E$2662='Analítico Cp.'!$B47)*(Diário!$C$4:$C$2662&gt;=E$4)*(Diário!$C$4:$C$2662&lt;=EOMONTH(E$4,0))*(Diário!$F$4:$F$2662))
+SUMPRODUCT(('Comp.'!$D$5:$D$402=$B47)*('Comp.'!$B$5:$B$402&gt;=E$4)*('Comp.'!$B$5:$B$402&lt;=EOMONTH(E$4,0))*('Comp.'!$E$5:$E$402))</f>
        <v>128661.93</v>
      </c>
      <c r="F47" s="11">
        <f>SUMPRODUCT((Diário!$E$4:$E$2662='Analítico Cp.'!$B47)*(Diário!$C$4:$C$2662&gt;=F$4)*(Diário!$C$4:$C$2662&lt;=EOMONTH(F$4,0))*(Diário!$F$4:$F$2662))
+SUMPRODUCT(('Comp.'!$D$5:$D$402=$B47)*('Comp.'!$B$5:$B$402&gt;=F$4)*('Comp.'!$B$5:$B$402&lt;=EOMONTH(F$4,0))*('Comp.'!$E$5:$E$402))</f>
        <v>132330.60999999999</v>
      </c>
      <c r="G47" s="11">
        <f>SUMPRODUCT((Diário!$E$4:$E$2662='Analítico Cp.'!$B47)*(Diário!$C$4:$C$2662&gt;=G$4)*(Diário!$C$4:$C$2662&lt;=EOMONTH(G$4,0))*(Diário!$F$4:$F$2662))
+SUMPRODUCT(('Comp.'!$D$5:$D$402=$B47)*('Comp.'!$B$5:$B$402&gt;=G$4)*('Comp.'!$B$5:$B$402&lt;=EOMONTH(G$4,0))*('Comp.'!$E$5:$E$402))</f>
        <v>129993.34999999999</v>
      </c>
      <c r="H47" s="11">
        <f>SUMPRODUCT((Diário!$E$4:$E$2662='Analítico Cp.'!$B47)*(Diário!$C$4:$C$2662&gt;=H$4)*(Diário!$C$4:$C$2662&lt;=EOMONTH(H$4,0))*(Diário!$F$4:$F$2662))
+SUMPRODUCT(('Comp.'!$D$5:$D$402=$B47)*('Comp.'!$B$5:$B$402&gt;=H$4)*('Comp.'!$B$5:$B$402&lt;=EOMONTH(H$4,0))*('Comp.'!$E$5:$E$402))</f>
        <v>0</v>
      </c>
      <c r="I47" s="11">
        <f>SUMPRODUCT((Diário!$E$4:$E$2662='Analítico Cp.'!$B47)*(Diário!$C$4:$C$2662&gt;=I$4)*(Diário!$C$4:$C$2662&lt;=EOMONTH(I$4,0))*(Diário!$F$4:$F$2662))
+SUMPRODUCT(('Comp.'!$D$5:$D$402=$B47)*('Comp.'!$B$5:$B$402&gt;=I$4)*('Comp.'!$B$5:$B$402&lt;=EOMONTH(I$4,0))*('Comp.'!$E$5:$E$402))</f>
        <v>0</v>
      </c>
      <c r="J47" s="11">
        <f>SUMPRODUCT((Diário!$E$4:$E$2662='Analítico Cp.'!$B47)*(Diário!$C$4:$C$2662&gt;=J$4)*(Diário!$C$4:$C$2662&lt;=EOMONTH(J$4,0))*(Diário!$F$4:$F$2662))
+SUMPRODUCT(('Comp.'!$D$5:$D$402=$B47)*('Comp.'!$B$5:$B$402&gt;=J$4)*('Comp.'!$B$5:$B$402&lt;=EOMONTH(J$4,0))*('Comp.'!$E$5:$E$402))</f>
        <v>0</v>
      </c>
      <c r="K47" s="11">
        <f>SUMPRODUCT((Diário!$E$4:$E$2662='Analítico Cp.'!$B47)*(Diário!$C$4:$C$2662&gt;=K$4)*(Diário!$C$4:$C$2662&lt;=EOMONTH(K$4,0))*(Diário!$F$4:$F$2662))
+SUMPRODUCT(('Comp.'!$D$5:$D$402=$B47)*('Comp.'!$B$5:$B$402&gt;=K$4)*('Comp.'!$B$5:$B$402&lt;=EOMONTH(K$4,0))*('Comp.'!$E$5:$E$402))</f>
        <v>0</v>
      </c>
      <c r="L47" s="11">
        <f>SUMPRODUCT((Diário!$E$4:$E$2662='Analítico Cp.'!$B47)*(Diário!$C$4:$C$2662&gt;=L$4)*(Diário!$C$4:$C$2662&lt;=EOMONTH(L$4,0))*(Diário!$F$4:$F$2662))
+SUMPRODUCT(('Comp.'!$D$5:$D$402=$B47)*('Comp.'!$B$5:$B$402&gt;=L$4)*('Comp.'!$B$5:$B$402&lt;=EOMONTH(L$4,0))*('Comp.'!$E$5:$E$402))</f>
        <v>0</v>
      </c>
      <c r="M47" s="11">
        <f>SUMPRODUCT((Diário!$E$4:$E$2662='Analítico Cp.'!$B47)*(Diário!$C$4:$C$2662&gt;=M$4)*(Diário!$C$4:$C$2662&lt;=EOMONTH(M$4,0))*(Diário!$F$4:$F$2662))
+SUMPRODUCT(('Comp.'!$D$5:$D$402=$B47)*('Comp.'!$B$5:$B$402&gt;=M$4)*('Comp.'!$B$5:$B$402&lt;=EOMONTH(M$4,0))*('Comp.'!$E$5:$E$402))</f>
        <v>0</v>
      </c>
      <c r="N47" s="11">
        <f>SUMPRODUCT((Diário!$E$4:$E$2662='Analítico Cp.'!$B47)*(Diário!$C$4:$C$2662&gt;=N$4)*(Diário!$C$4:$C$2662&lt;=EOMONTH(N$4,0))*(Diário!$F$4:$F$2662))
+SUMPRODUCT(('Comp.'!$D$5:$D$402=$B47)*('Comp.'!$B$5:$B$402&gt;=N$4)*('Comp.'!$B$5:$B$402&lt;=EOMONTH(N$4,0))*('Comp.'!$E$5:$E$402))</f>
        <v>0</v>
      </c>
      <c r="O47" s="12">
        <f t="shared" si="9"/>
        <v>639884.89</v>
      </c>
      <c r="P47" s="95">
        <f t="shared" si="10"/>
        <v>3.204598256243392E-2</v>
      </c>
    </row>
    <row r="48" spans="1:16" ht="23.25" customHeight="1">
      <c r="A48" s="202" t="s">
        <v>100</v>
      </c>
      <c r="B48" s="39" t="s">
        <v>8</v>
      </c>
      <c r="C48" s="11">
        <f>SUMPRODUCT((Diário!$E$4:$E$2662='Analítico Cp.'!$B48)*(Diário!$C$4:$C$2662&gt;=C$4)*(Diário!$C$4:$C$2662&lt;=EOMONTH(C$4,0))*(Diário!$F$4:$F$2662))
+SUMPRODUCT(('Comp.'!$D$5:$D$402=$B48)*('Comp.'!$B$5:$B$402&gt;=C$4)*('Comp.'!$B$5:$B$402&lt;=EOMONTH(C$4,0))*('Comp.'!$E$5:$E$402))</f>
        <v>4005.52</v>
      </c>
      <c r="D48" s="11">
        <f>SUMPRODUCT((Diário!$E$4:$E$2662='Analítico Cp.'!$B48)*(Diário!$C$4:$C$2662&gt;=D$4)*(Diário!$C$4:$C$2662&lt;=EOMONTH(D$4,0))*(Diário!$F$4:$F$2662))
+SUMPRODUCT(('Comp.'!$D$5:$D$402=$B48)*('Comp.'!$B$5:$B$402&gt;=D$4)*('Comp.'!$B$5:$B$402&lt;=EOMONTH(D$4,0))*('Comp.'!$E$5:$E$402))</f>
        <v>4121.96</v>
      </c>
      <c r="E48" s="11">
        <f>SUMPRODUCT((Diário!$E$4:$E$2662='Analítico Cp.'!$B48)*(Diário!$C$4:$C$2662&gt;=E$4)*(Diário!$C$4:$C$2662&lt;=EOMONTH(E$4,0))*(Diário!$F$4:$F$2662))
+SUMPRODUCT(('Comp.'!$D$5:$D$402=$B48)*('Comp.'!$B$5:$B$402&gt;=E$4)*('Comp.'!$B$5:$B$402&lt;=EOMONTH(E$4,0))*('Comp.'!$E$5:$E$402))</f>
        <v>4121.96</v>
      </c>
      <c r="F48" s="11">
        <f>SUMPRODUCT((Diário!$E$4:$E$2662='Analítico Cp.'!$B48)*(Diário!$C$4:$C$2662&gt;=F$4)*(Diário!$C$4:$C$2662&lt;=EOMONTH(F$4,0))*(Diário!$F$4:$F$2662))
+SUMPRODUCT(('Comp.'!$D$5:$D$402=$B48)*('Comp.'!$B$5:$B$402&gt;=F$4)*('Comp.'!$B$5:$B$402&lt;=EOMONTH(F$4,0))*('Comp.'!$E$5:$E$402))</f>
        <v>4180.18</v>
      </c>
      <c r="G48" s="11">
        <f>SUMPRODUCT((Diário!$E$4:$E$2662='Analítico Cp.'!$B48)*(Diário!$C$4:$C$2662&gt;=G$4)*(Diário!$C$4:$C$2662&lt;=EOMONTH(G$4,0))*(Diário!$F$4:$F$2662))
+SUMPRODUCT(('Comp.'!$D$5:$D$402=$B48)*('Comp.'!$B$5:$B$402&gt;=G$4)*('Comp.'!$B$5:$B$402&lt;=EOMONTH(G$4,0))*('Comp.'!$E$5:$E$402))</f>
        <v>4238.3999999999996</v>
      </c>
      <c r="H48" s="11">
        <f>SUMPRODUCT((Diário!$E$4:$E$2662='Analítico Cp.'!$B48)*(Diário!$C$4:$C$2662&gt;=H$4)*(Diário!$C$4:$C$2662&lt;=EOMONTH(H$4,0))*(Diário!$F$4:$F$2662))
+SUMPRODUCT(('Comp.'!$D$5:$D$402=$B48)*('Comp.'!$B$5:$B$402&gt;=H$4)*('Comp.'!$B$5:$B$402&lt;=EOMONTH(H$4,0))*('Comp.'!$E$5:$E$402))</f>
        <v>3495.9</v>
      </c>
      <c r="I48" s="11">
        <f>SUMPRODUCT((Diário!$E$4:$E$2662='Analítico Cp.'!$B48)*(Diário!$C$4:$C$2662&gt;=I$4)*(Diário!$C$4:$C$2662&lt;=EOMONTH(I$4,0))*(Diário!$F$4:$F$2662))
+SUMPRODUCT(('Comp.'!$D$5:$D$402=$B48)*('Comp.'!$B$5:$B$402&gt;=I$4)*('Comp.'!$B$5:$B$402&lt;=EOMONTH(I$4,0))*('Comp.'!$E$5:$E$402))</f>
        <v>0</v>
      </c>
      <c r="J48" s="11">
        <f>SUMPRODUCT((Diário!$E$4:$E$2662='Analítico Cp.'!$B48)*(Diário!$C$4:$C$2662&gt;=J$4)*(Diário!$C$4:$C$2662&lt;=EOMONTH(J$4,0))*(Diário!$F$4:$F$2662))
+SUMPRODUCT(('Comp.'!$D$5:$D$402=$B48)*('Comp.'!$B$5:$B$402&gt;=J$4)*('Comp.'!$B$5:$B$402&lt;=EOMONTH(J$4,0))*('Comp.'!$E$5:$E$402))</f>
        <v>0</v>
      </c>
      <c r="K48" s="11">
        <f>SUMPRODUCT((Diário!$E$4:$E$2662='Analítico Cp.'!$B48)*(Diário!$C$4:$C$2662&gt;=K$4)*(Diário!$C$4:$C$2662&lt;=EOMONTH(K$4,0))*(Diário!$F$4:$F$2662))
+SUMPRODUCT(('Comp.'!$D$5:$D$402=$B48)*('Comp.'!$B$5:$B$402&gt;=K$4)*('Comp.'!$B$5:$B$402&lt;=EOMONTH(K$4,0))*('Comp.'!$E$5:$E$402))</f>
        <v>0</v>
      </c>
      <c r="L48" s="11">
        <f>SUMPRODUCT((Diário!$E$4:$E$2662='Analítico Cp.'!$B48)*(Diário!$C$4:$C$2662&gt;=L$4)*(Diário!$C$4:$C$2662&lt;=EOMONTH(L$4,0))*(Diário!$F$4:$F$2662))
+SUMPRODUCT(('Comp.'!$D$5:$D$402=$B48)*('Comp.'!$B$5:$B$402&gt;=L$4)*('Comp.'!$B$5:$B$402&lt;=EOMONTH(L$4,0))*('Comp.'!$E$5:$E$402))</f>
        <v>0</v>
      </c>
      <c r="M48" s="11">
        <f>SUMPRODUCT((Diário!$E$4:$E$2662='Analítico Cp.'!$B48)*(Diário!$C$4:$C$2662&gt;=M$4)*(Diário!$C$4:$C$2662&lt;=EOMONTH(M$4,0))*(Diário!$F$4:$F$2662))
+SUMPRODUCT(('Comp.'!$D$5:$D$402=$B48)*('Comp.'!$B$5:$B$402&gt;=M$4)*('Comp.'!$B$5:$B$402&lt;=EOMONTH(M$4,0))*('Comp.'!$E$5:$E$402))</f>
        <v>0</v>
      </c>
      <c r="N48" s="11">
        <f>SUMPRODUCT((Diário!$E$4:$E$2662='Analítico Cp.'!$B48)*(Diário!$C$4:$C$2662&gt;=N$4)*(Diário!$C$4:$C$2662&lt;=EOMONTH(N$4,0))*(Diário!$F$4:$F$2662))
+SUMPRODUCT(('Comp.'!$D$5:$D$402=$B48)*('Comp.'!$B$5:$B$402&gt;=N$4)*('Comp.'!$B$5:$B$402&lt;=EOMONTH(N$4,0))*('Comp.'!$E$5:$E$402))</f>
        <v>0</v>
      </c>
      <c r="O48" s="12">
        <f t="shared" si="9"/>
        <v>24163.919999999998</v>
      </c>
      <c r="P48" s="95">
        <f t="shared" si="10"/>
        <v>1.2101497801581909E-3</v>
      </c>
    </row>
    <row r="49" spans="1:16" ht="23.25" customHeight="1">
      <c r="A49" s="202" t="s">
        <v>101</v>
      </c>
      <c r="B49" s="39" t="s">
        <v>50</v>
      </c>
      <c r="C49" s="11">
        <f>SUMPRODUCT((Diário!$E$4:$E$2662='Analítico Cp.'!$B49)*(Diário!$C$4:$C$2662&gt;=C$4)*(Diário!$C$4:$C$2662&lt;=EOMONTH(C$4,0))*(Diário!$F$4:$F$2662))
+SUMPRODUCT(('Comp.'!$D$5:$D$402=$B49)*('Comp.'!$B$5:$B$402&gt;=C$4)*('Comp.'!$B$5:$B$402&lt;=EOMONTH(C$4,0))*('Comp.'!$E$5:$E$402))</f>
        <v>0</v>
      </c>
      <c r="D49" s="11">
        <f>SUMPRODUCT((Diário!$E$4:$E$2662='Analítico Cp.'!$B49)*(Diário!$C$4:$C$2662&gt;=D$4)*(Diário!$C$4:$C$2662&lt;=EOMONTH(D$4,0))*(Diário!$F$4:$F$2662))
+SUMPRODUCT(('Comp.'!$D$5:$D$402=$B49)*('Comp.'!$B$5:$B$402&gt;=D$4)*('Comp.'!$B$5:$B$402&lt;=EOMONTH(D$4,0))*('Comp.'!$E$5:$E$402))</f>
        <v>0</v>
      </c>
      <c r="E49" s="11">
        <f>SUMPRODUCT((Diário!$E$4:$E$2662='Analítico Cp.'!$B49)*(Diário!$C$4:$C$2662&gt;=E$4)*(Diário!$C$4:$C$2662&lt;=EOMONTH(E$4,0))*(Diário!$F$4:$F$2662))
+SUMPRODUCT(('Comp.'!$D$5:$D$402=$B49)*('Comp.'!$B$5:$B$402&gt;=E$4)*('Comp.'!$B$5:$B$402&lt;=EOMONTH(E$4,0))*('Comp.'!$E$5:$E$402))</f>
        <v>0</v>
      </c>
      <c r="F49" s="11">
        <f>SUMPRODUCT((Diário!$E$4:$E$2662='Analítico Cp.'!$B49)*(Diário!$C$4:$C$2662&gt;=F$4)*(Diário!$C$4:$C$2662&lt;=EOMONTH(F$4,0))*(Diário!$F$4:$F$2662))
+SUMPRODUCT(('Comp.'!$D$5:$D$402=$B49)*('Comp.'!$B$5:$B$402&gt;=F$4)*('Comp.'!$B$5:$B$402&lt;=EOMONTH(F$4,0))*('Comp.'!$E$5:$E$402))</f>
        <v>0</v>
      </c>
      <c r="G49" s="11">
        <f>SUMPRODUCT((Diário!$E$4:$E$2662='Analítico Cp.'!$B49)*(Diário!$C$4:$C$2662&gt;=G$4)*(Diário!$C$4:$C$2662&lt;=EOMONTH(G$4,0))*(Diário!$F$4:$F$2662))
+SUMPRODUCT(('Comp.'!$D$5:$D$402=$B49)*('Comp.'!$B$5:$B$402&gt;=G$4)*('Comp.'!$B$5:$B$402&lt;=EOMONTH(G$4,0))*('Comp.'!$E$5:$E$402))</f>
        <v>0</v>
      </c>
      <c r="H49" s="11">
        <f>SUMPRODUCT((Diário!$E$4:$E$2662='Analítico Cp.'!$B49)*(Diário!$C$4:$C$2662&gt;=H$4)*(Diário!$C$4:$C$2662&lt;=EOMONTH(H$4,0))*(Diário!$F$4:$F$2662))
+SUMPRODUCT(('Comp.'!$D$5:$D$402=$B49)*('Comp.'!$B$5:$B$402&gt;=H$4)*('Comp.'!$B$5:$B$402&lt;=EOMONTH(H$4,0))*('Comp.'!$E$5:$E$402))</f>
        <v>0</v>
      </c>
      <c r="I49" s="11">
        <f>SUMPRODUCT((Diário!$E$4:$E$2662='Analítico Cp.'!$B49)*(Diário!$C$4:$C$2662&gt;=I$4)*(Diário!$C$4:$C$2662&lt;=EOMONTH(I$4,0))*(Diário!$F$4:$F$2662))
+SUMPRODUCT(('Comp.'!$D$5:$D$402=$B49)*('Comp.'!$B$5:$B$402&gt;=I$4)*('Comp.'!$B$5:$B$402&lt;=EOMONTH(I$4,0))*('Comp.'!$E$5:$E$402))</f>
        <v>0</v>
      </c>
      <c r="J49" s="11">
        <f>SUMPRODUCT((Diário!$E$4:$E$2662='Analítico Cp.'!$B49)*(Diário!$C$4:$C$2662&gt;=J$4)*(Diário!$C$4:$C$2662&lt;=EOMONTH(J$4,0))*(Diário!$F$4:$F$2662))
+SUMPRODUCT(('Comp.'!$D$5:$D$402=$B49)*('Comp.'!$B$5:$B$402&gt;=J$4)*('Comp.'!$B$5:$B$402&lt;=EOMONTH(J$4,0))*('Comp.'!$E$5:$E$402))</f>
        <v>0</v>
      </c>
      <c r="K49" s="11">
        <f>SUMPRODUCT((Diário!$E$4:$E$2662='Analítico Cp.'!$B49)*(Diário!$C$4:$C$2662&gt;=K$4)*(Diário!$C$4:$C$2662&lt;=EOMONTH(K$4,0))*(Diário!$F$4:$F$2662))
+SUMPRODUCT(('Comp.'!$D$5:$D$402=$B49)*('Comp.'!$B$5:$B$402&gt;=K$4)*('Comp.'!$B$5:$B$402&lt;=EOMONTH(K$4,0))*('Comp.'!$E$5:$E$402))</f>
        <v>0</v>
      </c>
      <c r="L49" s="11">
        <f>SUMPRODUCT((Diário!$E$4:$E$2662='Analítico Cp.'!$B49)*(Diário!$C$4:$C$2662&gt;=L$4)*(Diário!$C$4:$C$2662&lt;=EOMONTH(L$4,0))*(Diário!$F$4:$F$2662))
+SUMPRODUCT(('Comp.'!$D$5:$D$402=$B49)*('Comp.'!$B$5:$B$402&gt;=L$4)*('Comp.'!$B$5:$B$402&lt;=EOMONTH(L$4,0))*('Comp.'!$E$5:$E$402))</f>
        <v>0</v>
      </c>
      <c r="M49" s="11">
        <f>SUMPRODUCT((Diário!$E$4:$E$2662='Analítico Cp.'!$B49)*(Diário!$C$4:$C$2662&gt;=M$4)*(Diário!$C$4:$C$2662&lt;=EOMONTH(M$4,0))*(Diário!$F$4:$F$2662))
+SUMPRODUCT(('Comp.'!$D$5:$D$402=$B49)*('Comp.'!$B$5:$B$402&gt;=M$4)*('Comp.'!$B$5:$B$402&lt;=EOMONTH(M$4,0))*('Comp.'!$E$5:$E$402))</f>
        <v>0</v>
      </c>
      <c r="N49" s="11">
        <f>SUMPRODUCT((Diário!$E$4:$E$2662='Analítico Cp.'!$B49)*(Diário!$C$4:$C$2662&gt;=N$4)*(Diário!$C$4:$C$2662&lt;=EOMONTH(N$4,0))*(Diário!$F$4:$F$2662))
+SUMPRODUCT(('Comp.'!$D$5:$D$402=$B49)*('Comp.'!$B$5:$B$402&gt;=N$4)*('Comp.'!$B$5:$B$402&lt;=EOMONTH(N$4,0))*('Comp.'!$E$5:$E$402))</f>
        <v>0</v>
      </c>
      <c r="O49" s="12">
        <f t="shared" si="9"/>
        <v>0</v>
      </c>
      <c r="P49" s="95">
        <f t="shared" si="10"/>
        <v>0</v>
      </c>
    </row>
    <row r="50" spans="1:16" ht="23.25" customHeight="1">
      <c r="A50" s="202" t="s">
        <v>156</v>
      </c>
      <c r="B50" s="39" t="s">
        <v>51</v>
      </c>
      <c r="C50" s="11">
        <f>SUMPRODUCT((Diário!$E$4:$E$2662='Analítico Cp.'!$B50)*(Diário!$C$4:$C$2662&gt;=C$4)*(Diário!$C$4:$C$2662&lt;=EOMONTH(C$4,0))*(Diário!$F$4:$F$2662))
+SUMPRODUCT(('Comp.'!$D$5:$D$402=$B50)*('Comp.'!$B$5:$B$402&gt;=C$4)*('Comp.'!$B$5:$B$402&lt;=EOMONTH(C$4,0))*('Comp.'!$E$5:$E$402))</f>
        <v>0</v>
      </c>
      <c r="D50" s="11">
        <f>SUMPRODUCT((Diário!$E$4:$E$2662='Analítico Cp.'!$B50)*(Diário!$C$4:$C$2662&gt;=D$4)*(Diário!$C$4:$C$2662&lt;=EOMONTH(D$4,0))*(Diário!$F$4:$F$2662))
+SUMPRODUCT(('Comp.'!$D$5:$D$402=$B50)*('Comp.'!$B$5:$B$402&gt;=D$4)*('Comp.'!$B$5:$B$402&lt;=EOMONTH(D$4,0))*('Comp.'!$E$5:$E$402))</f>
        <v>0</v>
      </c>
      <c r="E50" s="11">
        <f>SUMPRODUCT((Diário!$E$4:$E$2662='Analítico Cp.'!$B50)*(Diário!$C$4:$C$2662&gt;=E$4)*(Diário!$C$4:$C$2662&lt;=EOMONTH(E$4,0))*(Diário!$F$4:$F$2662))
+SUMPRODUCT(('Comp.'!$D$5:$D$402=$B50)*('Comp.'!$B$5:$B$402&gt;=E$4)*('Comp.'!$B$5:$B$402&lt;=EOMONTH(E$4,0))*('Comp.'!$E$5:$E$402))</f>
        <v>0</v>
      </c>
      <c r="F50" s="11">
        <f>SUMPRODUCT((Diário!$E$4:$E$2662='Analítico Cp.'!$B50)*(Diário!$C$4:$C$2662&gt;=F$4)*(Diário!$C$4:$C$2662&lt;=EOMONTH(F$4,0))*(Diário!$F$4:$F$2662))
+SUMPRODUCT(('Comp.'!$D$5:$D$402=$B50)*('Comp.'!$B$5:$B$402&gt;=F$4)*('Comp.'!$B$5:$B$402&lt;=EOMONTH(F$4,0))*('Comp.'!$E$5:$E$402))</f>
        <v>0</v>
      </c>
      <c r="G50" s="11">
        <f>SUMPRODUCT((Diário!$E$4:$E$2662='Analítico Cp.'!$B50)*(Diário!$C$4:$C$2662&gt;=G$4)*(Diário!$C$4:$C$2662&lt;=EOMONTH(G$4,0))*(Diário!$F$4:$F$2662))
+SUMPRODUCT(('Comp.'!$D$5:$D$402=$B50)*('Comp.'!$B$5:$B$402&gt;=G$4)*('Comp.'!$B$5:$B$402&lt;=EOMONTH(G$4,0))*('Comp.'!$E$5:$E$402))</f>
        <v>0</v>
      </c>
      <c r="H50" s="11">
        <f>SUMPRODUCT((Diário!$E$4:$E$2662='Analítico Cp.'!$B50)*(Diário!$C$4:$C$2662&gt;=H$4)*(Diário!$C$4:$C$2662&lt;=EOMONTH(H$4,0))*(Diário!$F$4:$F$2662))
+SUMPRODUCT(('Comp.'!$D$5:$D$402=$B50)*('Comp.'!$B$5:$B$402&gt;=H$4)*('Comp.'!$B$5:$B$402&lt;=EOMONTH(H$4,0))*('Comp.'!$E$5:$E$402))</f>
        <v>0</v>
      </c>
      <c r="I50" s="11">
        <f>SUMPRODUCT((Diário!$E$4:$E$2662='Analítico Cp.'!$B50)*(Diário!$C$4:$C$2662&gt;=I$4)*(Diário!$C$4:$C$2662&lt;=EOMONTH(I$4,0))*(Diário!$F$4:$F$2662))
+SUMPRODUCT(('Comp.'!$D$5:$D$402=$B50)*('Comp.'!$B$5:$B$402&gt;=I$4)*('Comp.'!$B$5:$B$402&lt;=EOMONTH(I$4,0))*('Comp.'!$E$5:$E$402))</f>
        <v>0</v>
      </c>
      <c r="J50" s="11">
        <f>SUMPRODUCT((Diário!$E$4:$E$2662='Analítico Cp.'!$B50)*(Diário!$C$4:$C$2662&gt;=J$4)*(Diário!$C$4:$C$2662&lt;=EOMONTH(J$4,0))*(Diário!$F$4:$F$2662))
+SUMPRODUCT(('Comp.'!$D$5:$D$402=$B50)*('Comp.'!$B$5:$B$402&gt;=J$4)*('Comp.'!$B$5:$B$402&lt;=EOMONTH(J$4,0))*('Comp.'!$E$5:$E$402))</f>
        <v>0</v>
      </c>
      <c r="K50" s="11">
        <f>SUMPRODUCT((Diário!$E$4:$E$2662='Analítico Cp.'!$B50)*(Diário!$C$4:$C$2662&gt;=K$4)*(Diário!$C$4:$C$2662&lt;=EOMONTH(K$4,0))*(Diário!$F$4:$F$2662))
+SUMPRODUCT(('Comp.'!$D$5:$D$402=$B50)*('Comp.'!$B$5:$B$402&gt;=K$4)*('Comp.'!$B$5:$B$402&lt;=EOMONTH(K$4,0))*('Comp.'!$E$5:$E$402))</f>
        <v>0</v>
      </c>
      <c r="L50" s="11">
        <f>SUMPRODUCT((Diário!$E$4:$E$2662='Analítico Cp.'!$B50)*(Diário!$C$4:$C$2662&gt;=L$4)*(Diário!$C$4:$C$2662&lt;=EOMONTH(L$4,0))*(Diário!$F$4:$F$2662))
+SUMPRODUCT(('Comp.'!$D$5:$D$402=$B50)*('Comp.'!$B$5:$B$402&gt;=L$4)*('Comp.'!$B$5:$B$402&lt;=EOMONTH(L$4,0))*('Comp.'!$E$5:$E$402))</f>
        <v>0</v>
      </c>
      <c r="M50" s="11">
        <f>SUMPRODUCT((Diário!$E$4:$E$2662='Analítico Cp.'!$B50)*(Diário!$C$4:$C$2662&gt;=M$4)*(Diário!$C$4:$C$2662&lt;=EOMONTH(M$4,0))*(Diário!$F$4:$F$2662))
+SUMPRODUCT(('Comp.'!$D$5:$D$402=$B50)*('Comp.'!$B$5:$B$402&gt;=M$4)*('Comp.'!$B$5:$B$402&lt;=EOMONTH(M$4,0))*('Comp.'!$E$5:$E$402))</f>
        <v>0</v>
      </c>
      <c r="N50" s="11">
        <f>SUMPRODUCT((Diário!$E$4:$E$2662='Analítico Cp.'!$B50)*(Diário!$C$4:$C$2662&gt;=N$4)*(Diário!$C$4:$C$2662&lt;=EOMONTH(N$4,0))*(Diário!$F$4:$F$2662))
+SUMPRODUCT(('Comp.'!$D$5:$D$402=$B50)*('Comp.'!$B$5:$B$402&gt;=N$4)*('Comp.'!$B$5:$B$402&lt;=EOMONTH(N$4,0))*('Comp.'!$E$5:$E$402))</f>
        <v>0</v>
      </c>
      <c r="O50" s="12">
        <f t="shared" si="9"/>
        <v>0</v>
      </c>
      <c r="P50" s="95">
        <f t="shared" si="10"/>
        <v>0</v>
      </c>
    </row>
    <row r="51" spans="1:16" ht="23.25" customHeight="1">
      <c r="A51" s="202" t="s">
        <v>157</v>
      </c>
      <c r="B51" s="39" t="s">
        <v>293</v>
      </c>
      <c r="C51" s="11">
        <f>SUMPRODUCT((Diário!$E$4:$E$2662='Analítico Cp.'!$B51)*(Diário!$C$4:$C$2662&gt;=C$4)*(Diário!$C$4:$C$2662&lt;=EOMONTH(C$4,0))*(Diário!$F$4:$F$2662))
+SUMPRODUCT(('Comp.'!$D$5:$D$402=$B51)*('Comp.'!$B$5:$B$402&gt;=C$4)*('Comp.'!$B$5:$B$402&lt;=EOMONTH(C$4,0))*('Comp.'!$E$5:$E$402))</f>
        <v>0</v>
      </c>
      <c r="D51" s="11">
        <f>SUMPRODUCT((Diário!$E$4:$E$2662='Analítico Cp.'!$B51)*(Diário!$C$4:$C$2662&gt;=D$4)*(Diário!$C$4:$C$2662&lt;=EOMONTH(D$4,0))*(Diário!$F$4:$F$2662))
+SUMPRODUCT(('Comp.'!$D$5:$D$402=$B51)*('Comp.'!$B$5:$B$402&gt;=D$4)*('Comp.'!$B$5:$B$402&lt;=EOMONTH(D$4,0))*('Comp.'!$E$5:$E$402))</f>
        <v>0</v>
      </c>
      <c r="E51" s="11">
        <f>SUMPRODUCT((Diário!$E$4:$E$2662='Analítico Cp.'!$B51)*(Diário!$C$4:$C$2662&gt;=E$4)*(Diário!$C$4:$C$2662&lt;=EOMONTH(E$4,0))*(Diário!$F$4:$F$2662))
+SUMPRODUCT(('Comp.'!$D$5:$D$402=$B51)*('Comp.'!$B$5:$B$402&gt;=E$4)*('Comp.'!$B$5:$B$402&lt;=EOMONTH(E$4,0))*('Comp.'!$E$5:$E$402))</f>
        <v>0</v>
      </c>
      <c r="F51" s="11">
        <f>SUMPRODUCT((Diário!$E$4:$E$2662='Analítico Cp.'!$B51)*(Diário!$C$4:$C$2662&gt;=F$4)*(Diário!$C$4:$C$2662&lt;=EOMONTH(F$4,0))*(Diário!$F$4:$F$2662))
+SUMPRODUCT(('Comp.'!$D$5:$D$402=$B51)*('Comp.'!$B$5:$B$402&gt;=F$4)*('Comp.'!$B$5:$B$402&lt;=EOMONTH(F$4,0))*('Comp.'!$E$5:$E$402))</f>
        <v>0</v>
      </c>
      <c r="G51" s="11">
        <f>SUMPRODUCT((Diário!$E$4:$E$2662='Analítico Cp.'!$B51)*(Diário!$C$4:$C$2662&gt;=G$4)*(Diário!$C$4:$C$2662&lt;=EOMONTH(G$4,0))*(Diário!$F$4:$F$2662))
+SUMPRODUCT(('Comp.'!$D$5:$D$402=$B51)*('Comp.'!$B$5:$B$402&gt;=G$4)*('Comp.'!$B$5:$B$402&lt;=EOMONTH(G$4,0))*('Comp.'!$E$5:$E$402))</f>
        <v>0</v>
      </c>
      <c r="H51" s="11">
        <f>SUMPRODUCT((Diário!$E$4:$E$2662='Analítico Cp.'!$B51)*(Diário!$C$4:$C$2662&gt;=H$4)*(Diário!$C$4:$C$2662&lt;=EOMONTH(H$4,0))*(Diário!$F$4:$F$2662))
+SUMPRODUCT(('Comp.'!$D$5:$D$402=$B51)*('Comp.'!$B$5:$B$402&gt;=H$4)*('Comp.'!$B$5:$B$402&lt;=EOMONTH(H$4,0))*('Comp.'!$E$5:$E$402))</f>
        <v>0</v>
      </c>
      <c r="I51" s="11">
        <f>SUMPRODUCT((Diário!$E$4:$E$2662='Analítico Cp.'!$B51)*(Diário!$C$4:$C$2662&gt;=I$4)*(Diário!$C$4:$C$2662&lt;=EOMONTH(I$4,0))*(Diário!$F$4:$F$2662))
+SUMPRODUCT(('Comp.'!$D$5:$D$402=$B51)*('Comp.'!$B$5:$B$402&gt;=I$4)*('Comp.'!$B$5:$B$402&lt;=EOMONTH(I$4,0))*('Comp.'!$E$5:$E$402))</f>
        <v>0</v>
      </c>
      <c r="J51" s="11">
        <f>SUMPRODUCT((Diário!$E$4:$E$2662='Analítico Cp.'!$B51)*(Diário!$C$4:$C$2662&gt;=J$4)*(Diário!$C$4:$C$2662&lt;=EOMONTH(J$4,0))*(Diário!$F$4:$F$2662))
+SUMPRODUCT(('Comp.'!$D$5:$D$402=$B51)*('Comp.'!$B$5:$B$402&gt;=J$4)*('Comp.'!$B$5:$B$402&lt;=EOMONTH(J$4,0))*('Comp.'!$E$5:$E$402))</f>
        <v>0</v>
      </c>
      <c r="K51" s="11">
        <f>SUMPRODUCT((Diário!$E$4:$E$2662='Analítico Cp.'!$B51)*(Diário!$C$4:$C$2662&gt;=K$4)*(Diário!$C$4:$C$2662&lt;=EOMONTH(K$4,0))*(Diário!$F$4:$F$2662))
+SUMPRODUCT(('Comp.'!$D$5:$D$402=$B51)*('Comp.'!$B$5:$B$402&gt;=K$4)*('Comp.'!$B$5:$B$402&lt;=EOMONTH(K$4,0))*('Comp.'!$E$5:$E$402))</f>
        <v>0</v>
      </c>
      <c r="L51" s="11">
        <f>SUMPRODUCT((Diário!$E$4:$E$2662='Analítico Cp.'!$B51)*(Diário!$C$4:$C$2662&gt;=L$4)*(Diário!$C$4:$C$2662&lt;=EOMONTH(L$4,0))*(Diário!$F$4:$F$2662))
+SUMPRODUCT(('Comp.'!$D$5:$D$402=$B51)*('Comp.'!$B$5:$B$402&gt;=L$4)*('Comp.'!$B$5:$B$402&lt;=EOMONTH(L$4,0))*('Comp.'!$E$5:$E$402))</f>
        <v>0</v>
      </c>
      <c r="M51" s="11">
        <f>SUMPRODUCT((Diário!$E$4:$E$2662='Analítico Cp.'!$B51)*(Diário!$C$4:$C$2662&gt;=M$4)*(Diário!$C$4:$C$2662&lt;=EOMONTH(M$4,0))*(Diário!$F$4:$F$2662))
+SUMPRODUCT(('Comp.'!$D$5:$D$402=$B51)*('Comp.'!$B$5:$B$402&gt;=M$4)*('Comp.'!$B$5:$B$402&lt;=EOMONTH(M$4,0))*('Comp.'!$E$5:$E$402))</f>
        <v>0</v>
      </c>
      <c r="N51" s="11">
        <f>SUMPRODUCT((Diário!$E$4:$E$2662='Analítico Cp.'!$B51)*(Diário!$C$4:$C$2662&gt;=N$4)*(Diário!$C$4:$C$2662&lt;=EOMONTH(N$4,0))*(Diário!$F$4:$F$2662))
+SUMPRODUCT(('Comp.'!$D$5:$D$402=$B51)*('Comp.'!$B$5:$B$402&gt;=N$4)*('Comp.'!$B$5:$B$402&lt;=EOMONTH(N$4,0))*('Comp.'!$E$5:$E$402))</f>
        <v>0</v>
      </c>
      <c r="O51" s="12">
        <f>SUM(C51:N51)</f>
        <v>0</v>
      </c>
      <c r="P51" s="95">
        <f t="shared" si="10"/>
        <v>0</v>
      </c>
    </row>
    <row r="52" spans="1:16" ht="23.25" customHeight="1">
      <c r="A52" s="202" t="s">
        <v>292</v>
      </c>
      <c r="B52" s="39" t="s">
        <v>351</v>
      </c>
      <c r="C52" s="11">
        <f>SUMPRODUCT((Diário!$E$4:$E$2662='Analítico Cp.'!$B52)*(Diário!$C$4:$C$2662&gt;=C$4)*(Diário!$C$4:$C$2662&lt;=EOMONTH(C$4,0))*(Diário!$F$4:$F$2662))
+SUMPRODUCT(('Comp.'!$D$5:$D$402=$B52)*('Comp.'!$B$5:$B$402&gt;=C$4)*('Comp.'!$B$5:$B$402&lt;=EOMONTH(C$4,0))*('Comp.'!$E$5:$E$402))</f>
        <v>0</v>
      </c>
      <c r="D52" s="11">
        <f>SUMPRODUCT((Diário!$E$4:$E$2662='Analítico Cp.'!$B52)*(Diário!$C$4:$C$2662&gt;=D$4)*(Diário!$C$4:$C$2662&lt;=EOMONTH(D$4,0))*(Diário!$F$4:$F$2662))
+SUMPRODUCT(('Comp.'!$D$5:$D$402=$B52)*('Comp.'!$B$5:$B$402&gt;=D$4)*('Comp.'!$B$5:$B$402&lt;=EOMONTH(D$4,0))*('Comp.'!$E$5:$E$402))</f>
        <v>0</v>
      </c>
      <c r="E52" s="11">
        <f>SUMPRODUCT((Diário!$E$4:$E$2662='Analítico Cp.'!$B52)*(Diário!$C$4:$C$2662&gt;=E$4)*(Diário!$C$4:$C$2662&lt;=EOMONTH(E$4,0))*(Diário!$F$4:$F$2662))
+SUMPRODUCT(('Comp.'!$D$5:$D$402=$B52)*('Comp.'!$B$5:$B$402&gt;=E$4)*('Comp.'!$B$5:$B$402&lt;=EOMONTH(E$4,0))*('Comp.'!$E$5:$E$402))</f>
        <v>0</v>
      </c>
      <c r="F52" s="11">
        <f>SUMPRODUCT((Diário!$E$4:$E$2662='Analítico Cp.'!$B52)*(Diário!$C$4:$C$2662&gt;=F$4)*(Diário!$C$4:$C$2662&lt;=EOMONTH(F$4,0))*(Diário!$F$4:$F$2662))
+SUMPRODUCT(('Comp.'!$D$5:$D$402=$B52)*('Comp.'!$B$5:$B$402&gt;=F$4)*('Comp.'!$B$5:$B$402&lt;=EOMONTH(F$4,0))*('Comp.'!$E$5:$E$402))</f>
        <v>0</v>
      </c>
      <c r="G52" s="11">
        <f>SUMPRODUCT((Diário!$E$4:$E$2662='Analítico Cp.'!$B52)*(Diário!$C$4:$C$2662&gt;=G$4)*(Diário!$C$4:$C$2662&lt;=EOMONTH(G$4,0))*(Diário!$F$4:$F$2662))
+SUMPRODUCT(('Comp.'!$D$5:$D$402=$B52)*('Comp.'!$B$5:$B$402&gt;=G$4)*('Comp.'!$B$5:$B$402&lt;=EOMONTH(G$4,0))*('Comp.'!$E$5:$E$402))</f>
        <v>0</v>
      </c>
      <c r="H52" s="11">
        <f>SUMPRODUCT((Diário!$E$4:$E$2662='Analítico Cp.'!$B52)*(Diário!$C$4:$C$2662&gt;=H$4)*(Diário!$C$4:$C$2662&lt;=EOMONTH(H$4,0))*(Diário!$F$4:$F$2662))
+SUMPRODUCT(('Comp.'!$D$5:$D$402=$B52)*('Comp.'!$B$5:$B$402&gt;=H$4)*('Comp.'!$B$5:$B$402&lt;=EOMONTH(H$4,0))*('Comp.'!$E$5:$E$402))</f>
        <v>0</v>
      </c>
      <c r="I52" s="11">
        <f>SUMPRODUCT((Diário!$E$4:$E$2662='Analítico Cp.'!$B52)*(Diário!$C$4:$C$2662&gt;=I$4)*(Diário!$C$4:$C$2662&lt;=EOMONTH(I$4,0))*(Diário!$F$4:$F$2662))
+SUMPRODUCT(('Comp.'!$D$5:$D$402=$B52)*('Comp.'!$B$5:$B$402&gt;=I$4)*('Comp.'!$B$5:$B$402&lt;=EOMONTH(I$4,0))*('Comp.'!$E$5:$E$402))</f>
        <v>0</v>
      </c>
      <c r="J52" s="11">
        <f>SUMPRODUCT((Diário!$E$4:$E$2662='Analítico Cp.'!$B52)*(Diário!$C$4:$C$2662&gt;=J$4)*(Diário!$C$4:$C$2662&lt;=EOMONTH(J$4,0))*(Diário!$F$4:$F$2662))
+SUMPRODUCT(('Comp.'!$D$5:$D$402=$B52)*('Comp.'!$B$5:$B$402&gt;=J$4)*('Comp.'!$B$5:$B$402&lt;=EOMONTH(J$4,0))*('Comp.'!$E$5:$E$402))</f>
        <v>0</v>
      </c>
      <c r="K52" s="11">
        <f>SUMPRODUCT((Diário!$E$4:$E$2662='Analítico Cp.'!$B52)*(Diário!$C$4:$C$2662&gt;=K$4)*(Diário!$C$4:$C$2662&lt;=EOMONTH(K$4,0))*(Diário!$F$4:$F$2662))
+SUMPRODUCT(('Comp.'!$D$5:$D$402=$B52)*('Comp.'!$B$5:$B$402&gt;=K$4)*('Comp.'!$B$5:$B$402&lt;=EOMONTH(K$4,0))*('Comp.'!$E$5:$E$402))</f>
        <v>0</v>
      </c>
      <c r="L52" s="11">
        <f>SUMPRODUCT((Diário!$E$4:$E$2662='Analítico Cp.'!$B52)*(Diário!$C$4:$C$2662&gt;=L$4)*(Diário!$C$4:$C$2662&lt;=EOMONTH(L$4,0))*(Diário!$F$4:$F$2662))
+SUMPRODUCT(('Comp.'!$D$5:$D$402=$B52)*('Comp.'!$B$5:$B$402&gt;=L$4)*('Comp.'!$B$5:$B$402&lt;=EOMONTH(L$4,0))*('Comp.'!$E$5:$E$402))</f>
        <v>0</v>
      </c>
      <c r="M52" s="11">
        <f>SUMPRODUCT((Diário!$E$4:$E$2662='Analítico Cp.'!$B52)*(Diário!$C$4:$C$2662&gt;=M$4)*(Diário!$C$4:$C$2662&lt;=EOMONTH(M$4,0))*(Diário!$F$4:$F$2662))
+SUMPRODUCT(('Comp.'!$D$5:$D$402=$B52)*('Comp.'!$B$5:$B$402&gt;=M$4)*('Comp.'!$B$5:$B$402&lt;=EOMONTH(M$4,0))*('Comp.'!$E$5:$E$402))</f>
        <v>0</v>
      </c>
      <c r="N52" s="11">
        <f>SUMPRODUCT((Diário!$E$4:$E$2662='Analítico Cp.'!$B52)*(Diário!$C$4:$C$2662&gt;=N$4)*(Diário!$C$4:$C$2662&lt;=EOMONTH(N$4,0))*(Diário!$F$4:$F$2662))
+SUMPRODUCT(('Comp.'!$D$5:$D$402=$B52)*('Comp.'!$B$5:$B$402&gt;=N$4)*('Comp.'!$B$5:$B$402&lt;=EOMONTH(N$4,0))*('Comp.'!$E$5:$E$402))</f>
        <v>0</v>
      </c>
      <c r="O52" s="12">
        <f>SUM(C52:N52)</f>
        <v>0</v>
      </c>
      <c r="P52" s="95">
        <f t="shared" si="10"/>
        <v>0</v>
      </c>
    </row>
    <row r="53" spans="1:16" ht="23.25" customHeight="1">
      <c r="A53" s="202" t="s">
        <v>352</v>
      </c>
      <c r="B53" s="41" t="s">
        <v>69</v>
      </c>
      <c r="C53" s="11">
        <f>SUMPRODUCT((Diário!$E$4:$E$2662='Analítico Cp.'!$B53)*(Diário!$C$4:$C$2662&gt;=C$4)*(Diário!$C$4:$C$2662&lt;=EOMONTH(C$4,0))*(Diário!$F$4:$F$2662))
+SUMPRODUCT(('Comp.'!$D$5:$D$402=$B53)*('Comp.'!$B$5:$B$402&gt;=C$4)*('Comp.'!$B$5:$B$402&lt;=EOMONTH(C$4,0))*('Comp.'!$E$5:$E$402))</f>
        <v>6750</v>
      </c>
      <c r="D53" s="11">
        <f>SUMPRODUCT((Diário!$E$4:$E$2662='Analítico Cp.'!$B53)*(Diário!$C$4:$C$2662&gt;=D$4)*(Diário!$C$4:$C$2662&lt;=EOMONTH(D$4,0))*(Diário!$F$4:$F$2662))
+SUMPRODUCT(('Comp.'!$D$5:$D$402=$B53)*('Comp.'!$B$5:$B$402&gt;=D$4)*('Comp.'!$B$5:$B$402&lt;=EOMONTH(D$4,0))*('Comp.'!$E$5:$E$402))</f>
        <v>0</v>
      </c>
      <c r="E53" s="11">
        <f>SUMPRODUCT((Diário!$E$4:$E$2662='Analítico Cp.'!$B53)*(Diário!$C$4:$C$2662&gt;=E$4)*(Diário!$C$4:$C$2662&lt;=EOMONTH(E$4,0))*(Diário!$F$4:$F$2662))
+SUMPRODUCT(('Comp.'!$D$5:$D$402=$B53)*('Comp.'!$B$5:$B$402&gt;=E$4)*('Comp.'!$B$5:$B$402&lt;=EOMONTH(E$4,0))*('Comp.'!$E$5:$E$402))</f>
        <v>3300</v>
      </c>
      <c r="F53" s="11">
        <f>SUMPRODUCT((Diário!$E$4:$E$2662='Analítico Cp.'!$B53)*(Diário!$C$4:$C$2662&gt;=F$4)*(Diário!$C$4:$C$2662&lt;=EOMONTH(F$4,0))*(Diário!$F$4:$F$2662))
+SUMPRODUCT(('Comp.'!$D$5:$D$402=$B53)*('Comp.'!$B$5:$B$402&gt;=F$4)*('Comp.'!$B$5:$B$402&lt;=EOMONTH(F$4,0))*('Comp.'!$E$5:$E$402))</f>
        <v>3450</v>
      </c>
      <c r="G53" s="11">
        <f>SUMPRODUCT((Diário!$E$4:$E$2662='Analítico Cp.'!$B53)*(Diário!$C$4:$C$2662&gt;=G$4)*(Diário!$C$4:$C$2662&lt;=EOMONTH(G$4,0))*(Diário!$F$4:$F$2662))
+SUMPRODUCT(('Comp.'!$D$5:$D$402=$B53)*('Comp.'!$B$5:$B$402&gt;=G$4)*('Comp.'!$B$5:$B$402&lt;=EOMONTH(G$4,0))*('Comp.'!$E$5:$E$402))</f>
        <v>3650</v>
      </c>
      <c r="H53" s="11">
        <f>SUMPRODUCT((Diário!$E$4:$E$2662='Analítico Cp.'!$B53)*(Diário!$C$4:$C$2662&gt;=H$4)*(Diário!$C$4:$C$2662&lt;=EOMONTH(H$4,0))*(Diário!$F$4:$F$2662))
+SUMPRODUCT(('Comp.'!$D$5:$D$402=$B53)*('Comp.'!$B$5:$B$402&gt;=H$4)*('Comp.'!$B$5:$B$402&lt;=EOMONTH(H$4,0))*('Comp.'!$E$5:$E$402))</f>
        <v>0</v>
      </c>
      <c r="I53" s="11">
        <f>SUMPRODUCT((Diário!$E$4:$E$2662='Analítico Cp.'!$B53)*(Diário!$C$4:$C$2662&gt;=I$4)*(Diário!$C$4:$C$2662&lt;=EOMONTH(I$4,0))*(Diário!$F$4:$F$2662))
+SUMPRODUCT(('Comp.'!$D$5:$D$402=$B53)*('Comp.'!$B$5:$B$402&gt;=I$4)*('Comp.'!$B$5:$B$402&lt;=EOMONTH(I$4,0))*('Comp.'!$E$5:$E$402))</f>
        <v>3450</v>
      </c>
      <c r="J53" s="11">
        <f>SUMPRODUCT((Diário!$E$4:$E$2662='Analítico Cp.'!$B53)*(Diário!$C$4:$C$2662&gt;=J$4)*(Diário!$C$4:$C$2662&lt;=EOMONTH(J$4,0))*(Diário!$F$4:$F$2662))
+SUMPRODUCT(('Comp.'!$D$5:$D$402=$B53)*('Comp.'!$B$5:$B$402&gt;=J$4)*('Comp.'!$B$5:$B$402&lt;=EOMONTH(J$4,0))*('Comp.'!$E$5:$E$402))</f>
        <v>0</v>
      </c>
      <c r="K53" s="11">
        <f>SUMPRODUCT((Diário!$E$4:$E$2662='Analítico Cp.'!$B53)*(Diário!$C$4:$C$2662&gt;=K$4)*(Diário!$C$4:$C$2662&lt;=EOMONTH(K$4,0))*(Diário!$F$4:$F$2662))
+SUMPRODUCT(('Comp.'!$D$5:$D$402=$B53)*('Comp.'!$B$5:$B$402&gt;=K$4)*('Comp.'!$B$5:$B$402&lt;=EOMONTH(K$4,0))*('Comp.'!$E$5:$E$402))</f>
        <v>0</v>
      </c>
      <c r="L53" s="11">
        <f>SUMPRODUCT((Diário!$E$4:$E$2662='Analítico Cp.'!$B53)*(Diário!$C$4:$C$2662&gt;=L$4)*(Diário!$C$4:$C$2662&lt;=EOMONTH(L$4,0))*(Diário!$F$4:$F$2662))
+SUMPRODUCT(('Comp.'!$D$5:$D$402=$B53)*('Comp.'!$B$5:$B$402&gt;=L$4)*('Comp.'!$B$5:$B$402&lt;=EOMONTH(L$4,0))*('Comp.'!$E$5:$E$402))</f>
        <v>0</v>
      </c>
      <c r="M53" s="11">
        <f>SUMPRODUCT((Diário!$E$4:$E$2662='Analítico Cp.'!$B53)*(Diário!$C$4:$C$2662&gt;=M$4)*(Diário!$C$4:$C$2662&lt;=EOMONTH(M$4,0))*(Diário!$F$4:$F$2662))
+SUMPRODUCT(('Comp.'!$D$5:$D$402=$B53)*('Comp.'!$B$5:$B$402&gt;=M$4)*('Comp.'!$B$5:$B$402&lt;=EOMONTH(M$4,0))*('Comp.'!$E$5:$E$402))</f>
        <v>0</v>
      </c>
      <c r="N53" s="11">
        <f>SUMPRODUCT((Diário!$E$4:$E$2662='Analítico Cp.'!$B53)*(Diário!$C$4:$C$2662&gt;=N$4)*(Diário!$C$4:$C$2662&lt;=EOMONTH(N$4,0))*(Diário!$F$4:$F$2662))
+SUMPRODUCT(('Comp.'!$D$5:$D$402=$B53)*('Comp.'!$B$5:$B$402&gt;=N$4)*('Comp.'!$B$5:$B$402&lt;=EOMONTH(N$4,0))*('Comp.'!$E$5:$E$402))</f>
        <v>0</v>
      </c>
      <c r="O53" s="14">
        <f t="shared" si="9"/>
        <v>20600</v>
      </c>
      <c r="P53" s="95">
        <f t="shared" si="10"/>
        <v>1.0316656184616872E-3</v>
      </c>
    </row>
    <row r="54" spans="1:16" ht="23.25" customHeight="1">
      <c r="A54" s="17"/>
      <c r="B54" s="18" t="s">
        <v>103</v>
      </c>
      <c r="C54" s="13">
        <f>SUBTOTAL(109,C45:C53)</f>
        <v>408427.27</v>
      </c>
      <c r="D54" s="13">
        <f>SUBTOTAL(109,D45:D53)</f>
        <v>136181.60999999999</v>
      </c>
      <c r="E54" s="13">
        <f>SUBTOTAL(109,E45:E53)</f>
        <v>277271.95</v>
      </c>
      <c r="F54" s="13">
        <f t="shared" ref="F54:N54" si="11">SUBTOTAL(109,F45:F53)</f>
        <v>278050.74999999994</v>
      </c>
      <c r="G54" s="13">
        <f t="shared" si="11"/>
        <v>279648.96000000002</v>
      </c>
      <c r="H54" s="13">
        <f t="shared" si="11"/>
        <v>3489</v>
      </c>
      <c r="I54" s="13">
        <f t="shared" si="11"/>
        <v>142449.71</v>
      </c>
      <c r="J54" s="13">
        <f t="shared" si="11"/>
        <v>0</v>
      </c>
      <c r="K54" s="13">
        <f t="shared" si="11"/>
        <v>0</v>
      </c>
      <c r="L54" s="13">
        <f t="shared" si="11"/>
        <v>0</v>
      </c>
      <c r="M54" s="13">
        <f t="shared" si="11"/>
        <v>0</v>
      </c>
      <c r="N54" s="13">
        <f t="shared" si="11"/>
        <v>0</v>
      </c>
      <c r="O54" s="13">
        <f>SUBTOTAL(109,O45:O53)</f>
        <v>1525519.25</v>
      </c>
      <c r="P54" s="96">
        <f t="shared" si="10"/>
        <v>7.6399308763420354E-2</v>
      </c>
    </row>
    <row r="55" spans="1:16" ht="23.25" customHeight="1" thickBot="1">
      <c r="A55" s="223"/>
      <c r="B55" s="224" t="s">
        <v>242</v>
      </c>
      <c r="C55" s="244">
        <f t="shared" ref="C55:O55" si="12">SUBTOTAL(109,C18:C54)</f>
        <v>2366112.58</v>
      </c>
      <c r="D55" s="244">
        <f t="shared" si="12"/>
        <v>2009655.71</v>
      </c>
      <c r="E55" s="244">
        <f t="shared" si="12"/>
        <v>664850.9700000002</v>
      </c>
      <c r="F55" s="244">
        <f t="shared" si="12"/>
        <v>2847708.7600000002</v>
      </c>
      <c r="G55" s="244">
        <f t="shared" si="12"/>
        <v>2473245.7000000002</v>
      </c>
      <c r="H55" s="244">
        <f t="shared" si="12"/>
        <v>2489288.9000000004</v>
      </c>
      <c r="I55" s="244">
        <f t="shared" si="12"/>
        <v>142449.71</v>
      </c>
      <c r="J55" s="244">
        <f t="shared" si="12"/>
        <v>0</v>
      </c>
      <c r="K55" s="244">
        <f t="shared" si="12"/>
        <v>0</v>
      </c>
      <c r="L55" s="244">
        <f t="shared" si="12"/>
        <v>0</v>
      </c>
      <c r="M55" s="244">
        <f t="shared" si="12"/>
        <v>0</v>
      </c>
      <c r="N55" s="244">
        <f t="shared" si="12"/>
        <v>0</v>
      </c>
      <c r="O55" s="244">
        <f t="shared" si="12"/>
        <v>12993312.329999996</v>
      </c>
      <c r="P55" s="226">
        <f t="shared" si="10"/>
        <v>0.65071619421336468</v>
      </c>
    </row>
    <row r="56" spans="1:16" ht="23.25" customHeight="1" thickBot="1">
      <c r="A56" s="227" t="s">
        <v>39</v>
      </c>
      <c r="B56" s="212" t="s">
        <v>248</v>
      </c>
      <c r="C56" s="248"/>
      <c r="D56" s="248"/>
      <c r="E56" s="248"/>
      <c r="F56" s="248"/>
      <c r="G56" s="248"/>
      <c r="H56" s="248"/>
      <c r="I56" s="248"/>
      <c r="J56" s="248"/>
      <c r="K56" s="248"/>
      <c r="L56" s="248"/>
      <c r="M56" s="248"/>
      <c r="N56" s="248"/>
      <c r="O56" s="248"/>
      <c r="P56" s="194"/>
    </row>
    <row r="57" spans="1:16" ht="23.25" customHeight="1">
      <c r="A57" s="40" t="s">
        <v>16</v>
      </c>
      <c r="B57" s="59" t="s">
        <v>2</v>
      </c>
      <c r="C57" s="11">
        <f>SUMPRODUCT((Diário!$E$4:$E$2662='Analítico Cp.'!$B57)*(Diário!$C$4:$C$2662&gt;=C$4)*(Diário!$C$4:$C$2662&lt;=EOMONTH(C$4,0))*(Diário!$F$4:$F$2662))
+SUMPRODUCT(('Comp.'!$D$5:$D$402=$B57)*('Comp.'!$B$5:$B$402&gt;=C$4)*('Comp.'!$B$5:$B$402&lt;=EOMONTH(C$4,0))*('Comp.'!$E$5:$E$402))</f>
        <v>0</v>
      </c>
      <c r="D57" s="11">
        <f>SUMPRODUCT((Diário!$E$4:$E$2662='Analítico Cp.'!$B57)*(Diário!$C$4:$C$2662&gt;=D$4)*(Diário!$C$4:$C$2662&lt;=EOMONTH(D$4,0))*(Diário!$F$4:$F$2662))
+SUMPRODUCT(('Comp.'!$D$5:$D$402=$B57)*('Comp.'!$B$5:$B$402&gt;=D$4)*('Comp.'!$B$5:$B$402&lt;=EOMONTH(D$4,0))*('Comp.'!$E$5:$E$402))</f>
        <v>0</v>
      </c>
      <c r="E57" s="11">
        <f>SUMPRODUCT((Diário!$E$4:$E$2662='Analítico Cp.'!$B57)*(Diário!$C$4:$C$2662&gt;=E$4)*(Diário!$C$4:$C$2662&lt;=EOMONTH(E$4,0))*(Diário!$F$4:$F$2662))
+SUMPRODUCT(('Comp.'!$D$5:$D$402=$B57)*('Comp.'!$B$5:$B$402&gt;=E$4)*('Comp.'!$B$5:$B$402&lt;=EOMONTH(E$4,0))*('Comp.'!$E$5:$E$402))</f>
        <v>0</v>
      </c>
      <c r="F57" s="11">
        <f>SUMPRODUCT((Diário!$E$4:$E$2662='Analítico Cp.'!$B57)*(Diário!$C$4:$C$2662&gt;=F$4)*(Diário!$C$4:$C$2662&lt;=EOMONTH(F$4,0))*(Diário!$F$4:$F$2662))
+SUMPRODUCT(('Comp.'!$D$5:$D$402=$B57)*('Comp.'!$B$5:$B$402&gt;=F$4)*('Comp.'!$B$5:$B$402&lt;=EOMONTH(F$4,0))*('Comp.'!$E$5:$E$402))</f>
        <v>0</v>
      </c>
      <c r="G57" s="11">
        <f>SUMPRODUCT((Diário!$E$4:$E$2662='Analítico Cp.'!$B57)*(Diário!$C$4:$C$2662&gt;=G$4)*(Diário!$C$4:$C$2662&lt;=EOMONTH(G$4,0))*(Diário!$F$4:$F$2662))
+SUMPRODUCT(('Comp.'!$D$5:$D$402=$B57)*('Comp.'!$B$5:$B$402&gt;=G$4)*('Comp.'!$B$5:$B$402&lt;=EOMONTH(G$4,0))*('Comp.'!$E$5:$E$402))</f>
        <v>0</v>
      </c>
      <c r="H57" s="11">
        <f>SUMPRODUCT((Diário!$E$4:$E$2662='Analítico Cp.'!$B57)*(Diário!$C$4:$C$2662&gt;=H$4)*(Diário!$C$4:$C$2662&lt;=EOMONTH(H$4,0))*(Diário!$F$4:$F$2662))
+SUMPRODUCT(('Comp.'!$D$5:$D$402=$B57)*('Comp.'!$B$5:$B$402&gt;=H$4)*('Comp.'!$B$5:$B$402&lt;=EOMONTH(H$4,0))*('Comp.'!$E$5:$E$402))</f>
        <v>0</v>
      </c>
      <c r="I57" s="11">
        <f>SUMPRODUCT((Diário!$E$4:$E$2662='Analítico Cp.'!$B57)*(Diário!$C$4:$C$2662&gt;=I$4)*(Diário!$C$4:$C$2662&lt;=EOMONTH(I$4,0))*(Diário!$F$4:$F$2662))
+SUMPRODUCT(('Comp.'!$D$5:$D$402=$B57)*('Comp.'!$B$5:$B$402&gt;=I$4)*('Comp.'!$B$5:$B$402&lt;=EOMONTH(I$4,0))*('Comp.'!$E$5:$E$402))</f>
        <v>0</v>
      </c>
      <c r="J57" s="11">
        <f>SUMPRODUCT((Diário!$E$4:$E$2662='Analítico Cp.'!$B57)*(Diário!$C$4:$C$2662&gt;=J$4)*(Diário!$C$4:$C$2662&lt;=EOMONTH(J$4,0))*(Diário!$F$4:$F$2662))
+SUMPRODUCT(('Comp.'!$D$5:$D$402=$B57)*('Comp.'!$B$5:$B$402&gt;=J$4)*('Comp.'!$B$5:$B$402&lt;=EOMONTH(J$4,0))*('Comp.'!$E$5:$E$402))</f>
        <v>0</v>
      </c>
      <c r="K57" s="11">
        <f>SUMPRODUCT((Diário!$E$4:$E$2662='Analítico Cp.'!$B57)*(Diário!$C$4:$C$2662&gt;=K$4)*(Diário!$C$4:$C$2662&lt;=EOMONTH(K$4,0))*(Diário!$F$4:$F$2662))
+SUMPRODUCT(('Comp.'!$D$5:$D$402=$B57)*('Comp.'!$B$5:$B$402&gt;=K$4)*('Comp.'!$B$5:$B$402&lt;=EOMONTH(K$4,0))*('Comp.'!$E$5:$E$402))</f>
        <v>0</v>
      </c>
      <c r="L57" s="11">
        <f>SUMPRODUCT((Diário!$E$4:$E$2662='Analítico Cp.'!$B57)*(Diário!$C$4:$C$2662&gt;=L$4)*(Diário!$C$4:$C$2662&lt;=EOMONTH(L$4,0))*(Diário!$F$4:$F$2662))
+SUMPRODUCT(('Comp.'!$D$5:$D$402=$B57)*('Comp.'!$B$5:$B$402&gt;=L$4)*('Comp.'!$B$5:$B$402&lt;=EOMONTH(L$4,0))*('Comp.'!$E$5:$E$402))</f>
        <v>0</v>
      </c>
      <c r="M57" s="11">
        <f>SUMPRODUCT((Diário!$E$4:$E$2662='Analítico Cp.'!$B57)*(Diário!$C$4:$C$2662&gt;=M$4)*(Diário!$C$4:$C$2662&lt;=EOMONTH(M$4,0))*(Diário!$F$4:$F$2662))
+SUMPRODUCT(('Comp.'!$D$5:$D$402=$B57)*('Comp.'!$B$5:$B$402&gt;=M$4)*('Comp.'!$B$5:$B$402&lt;=EOMONTH(M$4,0))*('Comp.'!$E$5:$E$402))</f>
        <v>0</v>
      </c>
      <c r="N57" s="11">
        <f>SUMPRODUCT((Diário!$E$4:$E$2662='Analítico Cp.'!$B57)*(Diário!$C$4:$C$2662&gt;=N$4)*(Diário!$C$4:$C$2662&lt;=EOMONTH(N$4,0))*(Diário!$F$4:$F$2662))
+SUMPRODUCT(('Comp.'!$D$5:$D$402=$B57)*('Comp.'!$B$5:$B$402&gt;=N$4)*('Comp.'!$B$5:$B$402&lt;=EOMONTH(N$4,0))*('Comp.'!$E$5:$E$402))</f>
        <v>0</v>
      </c>
      <c r="O57" s="12">
        <f>SUM(C57:N57)</f>
        <v>0</v>
      </c>
      <c r="P57" s="95">
        <f t="shared" ref="P57:P88" si="13">IF($O$189=0,0,O57/$O$189)</f>
        <v>0</v>
      </c>
    </row>
    <row r="58" spans="1:16" ht="23.25" customHeight="1">
      <c r="A58" s="40" t="s">
        <v>17</v>
      </c>
      <c r="B58" s="59" t="s">
        <v>142</v>
      </c>
      <c r="C58" s="11">
        <f>SUMPRODUCT((Diário!$E$4:$E$2662='Analítico Cp.'!$B58)*(Diário!$C$4:$C$2662&gt;=C$4)*(Diário!$C$4:$C$2662&lt;=EOMONTH(C$4,0))*(Diário!$F$4:$F$2662))
+SUMPRODUCT(('Comp.'!$D$5:$D$402=$B58)*('Comp.'!$B$5:$B$402&gt;=C$4)*('Comp.'!$B$5:$B$402&lt;=EOMONTH(C$4,0))*('Comp.'!$E$5:$E$402))</f>
        <v>245279.83000000002</v>
      </c>
      <c r="D58" s="11">
        <f>SUMPRODUCT((Diário!$E$4:$E$2662='Analítico Cp.'!$B58)*(Diário!$C$4:$C$2662&gt;=D$4)*(Diário!$C$4:$C$2662&lt;=EOMONTH(D$4,0))*(Diário!$F$4:$F$2662))
+SUMPRODUCT(('Comp.'!$D$5:$D$402=$B58)*('Comp.'!$B$5:$B$402&gt;=D$4)*('Comp.'!$B$5:$B$402&lt;=EOMONTH(D$4,0))*('Comp.'!$E$5:$E$402))</f>
        <v>178521.25999999998</v>
      </c>
      <c r="E58" s="11">
        <f>SUMPRODUCT((Diário!$E$4:$E$2662='Analítico Cp.'!$B58)*(Diário!$C$4:$C$2662&gt;=E$4)*(Diário!$C$4:$C$2662&lt;=EOMONTH(E$4,0))*(Diário!$F$4:$F$2662))
+SUMPRODUCT(('Comp.'!$D$5:$D$402=$B58)*('Comp.'!$B$5:$B$402&gt;=E$4)*('Comp.'!$B$5:$B$402&lt;=EOMONTH(E$4,0))*('Comp.'!$E$5:$E$402))</f>
        <v>243391.42999999996</v>
      </c>
      <c r="F58" s="11">
        <f>SUMPRODUCT((Diário!$E$4:$E$2662='Analítico Cp.'!$B58)*(Diário!$C$4:$C$2662&gt;=F$4)*(Diário!$C$4:$C$2662&lt;=EOMONTH(F$4,0))*(Diário!$F$4:$F$2662))
+SUMPRODUCT(('Comp.'!$D$5:$D$402=$B58)*('Comp.'!$B$5:$B$402&gt;=F$4)*('Comp.'!$B$5:$B$402&lt;=EOMONTH(F$4,0))*('Comp.'!$E$5:$E$402))</f>
        <v>250778.39</v>
      </c>
      <c r="G58" s="11">
        <f>SUMPRODUCT((Diário!$E$4:$E$2662='Analítico Cp.'!$B58)*(Diário!$C$4:$C$2662&gt;=G$4)*(Diário!$C$4:$C$2662&lt;=EOMONTH(G$4,0))*(Diário!$F$4:$F$2662))
+SUMPRODUCT(('Comp.'!$D$5:$D$402=$B58)*('Comp.'!$B$5:$B$402&gt;=G$4)*('Comp.'!$B$5:$B$402&lt;=EOMONTH(G$4,0))*('Comp.'!$E$5:$E$402))</f>
        <v>178521</v>
      </c>
      <c r="H58" s="11">
        <f>SUMPRODUCT((Diário!$E$4:$E$2662='Analítico Cp.'!$B58)*(Diário!$C$4:$C$2662&gt;=H$4)*(Diário!$C$4:$C$2662&lt;=EOMONTH(H$4,0))*(Diário!$F$4:$F$2662))
+SUMPRODUCT(('Comp.'!$D$5:$D$402=$B58)*('Comp.'!$B$5:$B$402&gt;=H$4)*('Comp.'!$B$5:$B$402&lt;=EOMONTH(H$4,0))*('Comp.'!$E$5:$E$402))</f>
        <v>239586</v>
      </c>
      <c r="I58" s="11">
        <f>SUMPRODUCT((Diário!$E$4:$E$2662='Analítico Cp.'!$B58)*(Diário!$C$4:$C$2662&gt;=I$4)*(Diário!$C$4:$C$2662&lt;=EOMONTH(I$4,0))*(Diário!$F$4:$F$2662))
+SUMPRODUCT(('Comp.'!$D$5:$D$402=$B58)*('Comp.'!$B$5:$B$402&gt;=I$4)*('Comp.'!$B$5:$B$402&lt;=EOMONTH(I$4,0))*('Comp.'!$E$5:$E$402))</f>
        <v>0</v>
      </c>
      <c r="J58" s="11">
        <f>SUMPRODUCT((Diário!$E$4:$E$2662='Analítico Cp.'!$B58)*(Diário!$C$4:$C$2662&gt;=J$4)*(Diário!$C$4:$C$2662&lt;=EOMONTH(J$4,0))*(Diário!$F$4:$F$2662))
+SUMPRODUCT(('Comp.'!$D$5:$D$402=$B58)*('Comp.'!$B$5:$B$402&gt;=J$4)*('Comp.'!$B$5:$B$402&lt;=EOMONTH(J$4,0))*('Comp.'!$E$5:$E$402))</f>
        <v>0</v>
      </c>
      <c r="K58" s="11">
        <f>SUMPRODUCT((Diário!$E$4:$E$2662='Analítico Cp.'!$B58)*(Diário!$C$4:$C$2662&gt;=K$4)*(Diário!$C$4:$C$2662&lt;=EOMONTH(K$4,0))*(Diário!$F$4:$F$2662))
+SUMPRODUCT(('Comp.'!$D$5:$D$402=$B58)*('Comp.'!$B$5:$B$402&gt;=K$4)*('Comp.'!$B$5:$B$402&lt;=EOMONTH(K$4,0))*('Comp.'!$E$5:$E$402))</f>
        <v>0</v>
      </c>
      <c r="L58" s="11">
        <f>SUMPRODUCT((Diário!$E$4:$E$2662='Analítico Cp.'!$B58)*(Diário!$C$4:$C$2662&gt;=L$4)*(Diário!$C$4:$C$2662&lt;=EOMONTH(L$4,0))*(Diário!$F$4:$F$2662))
+SUMPRODUCT(('Comp.'!$D$5:$D$402=$B58)*('Comp.'!$B$5:$B$402&gt;=L$4)*('Comp.'!$B$5:$B$402&lt;=EOMONTH(L$4,0))*('Comp.'!$E$5:$E$402))</f>
        <v>0</v>
      </c>
      <c r="M58" s="11">
        <f>SUMPRODUCT((Diário!$E$4:$E$2662='Analítico Cp.'!$B58)*(Diário!$C$4:$C$2662&gt;=M$4)*(Diário!$C$4:$C$2662&lt;=EOMONTH(M$4,0))*(Diário!$F$4:$F$2662))
+SUMPRODUCT(('Comp.'!$D$5:$D$402=$B58)*('Comp.'!$B$5:$B$402&gt;=M$4)*('Comp.'!$B$5:$B$402&lt;=EOMONTH(M$4,0))*('Comp.'!$E$5:$E$402))</f>
        <v>0</v>
      </c>
      <c r="N58" s="11">
        <f>SUMPRODUCT((Diário!$E$4:$E$2662='Analítico Cp.'!$B58)*(Diário!$C$4:$C$2662&gt;=N$4)*(Diário!$C$4:$C$2662&lt;=EOMONTH(N$4,0))*(Diário!$F$4:$F$2662))
+SUMPRODUCT(('Comp.'!$D$5:$D$402=$B58)*('Comp.'!$B$5:$B$402&gt;=N$4)*('Comp.'!$B$5:$B$402&lt;=EOMONTH(N$4,0))*('Comp.'!$E$5:$E$402))</f>
        <v>0</v>
      </c>
      <c r="O58" s="12">
        <f t="shared" ref="O58:O115" si="14">SUM(C58:N58)</f>
        <v>1336077.9099999999</v>
      </c>
      <c r="P58" s="95">
        <f t="shared" si="13"/>
        <v>6.691192443364799E-2</v>
      </c>
    </row>
    <row r="59" spans="1:16" ht="23.25" customHeight="1">
      <c r="A59" s="40" t="s">
        <v>18</v>
      </c>
      <c r="B59" s="59" t="s">
        <v>3</v>
      </c>
      <c r="C59" s="11">
        <f>SUMPRODUCT((Diário!$E$4:$E$2662='Analítico Cp.'!$B59)*(Diário!$C$4:$C$2662&gt;=C$4)*(Diário!$C$4:$C$2662&lt;=EOMONTH(C$4,0))*(Diário!$F$4:$F$2662))
+SUMPRODUCT(('Comp.'!$D$5:$D$402=$B59)*('Comp.'!$B$5:$B$402&gt;=C$4)*('Comp.'!$B$5:$B$402&lt;=EOMONTH(C$4,0))*('Comp.'!$E$5:$E$402))</f>
        <v>0</v>
      </c>
      <c r="D59" s="11">
        <f>SUMPRODUCT((Diário!$E$4:$E$2662='Analítico Cp.'!$B59)*(Diário!$C$4:$C$2662&gt;=D$4)*(Diário!$C$4:$C$2662&lt;=EOMONTH(D$4,0))*(Diário!$F$4:$F$2662))
+SUMPRODUCT(('Comp.'!$D$5:$D$402=$B59)*('Comp.'!$B$5:$B$402&gt;=D$4)*('Comp.'!$B$5:$B$402&lt;=EOMONTH(D$4,0))*('Comp.'!$E$5:$E$402))</f>
        <v>0</v>
      </c>
      <c r="E59" s="11">
        <f>SUMPRODUCT((Diário!$E$4:$E$2662='Analítico Cp.'!$B59)*(Diário!$C$4:$C$2662&gt;=E$4)*(Diário!$C$4:$C$2662&lt;=EOMONTH(E$4,0))*(Diário!$F$4:$F$2662))
+SUMPRODUCT(('Comp.'!$D$5:$D$402=$B59)*('Comp.'!$B$5:$B$402&gt;=E$4)*('Comp.'!$B$5:$B$402&lt;=EOMONTH(E$4,0))*('Comp.'!$E$5:$E$402))</f>
        <v>0</v>
      </c>
      <c r="F59" s="11">
        <f>SUMPRODUCT((Diário!$E$4:$E$2662='Analítico Cp.'!$B59)*(Diário!$C$4:$C$2662&gt;=F$4)*(Diário!$C$4:$C$2662&lt;=EOMONTH(F$4,0))*(Diário!$F$4:$F$2662))
+SUMPRODUCT(('Comp.'!$D$5:$D$402=$B59)*('Comp.'!$B$5:$B$402&gt;=F$4)*('Comp.'!$B$5:$B$402&lt;=EOMONTH(F$4,0))*('Comp.'!$E$5:$E$402))</f>
        <v>0</v>
      </c>
      <c r="G59" s="11">
        <f>SUMPRODUCT((Diário!$E$4:$E$2662='Analítico Cp.'!$B59)*(Diário!$C$4:$C$2662&gt;=G$4)*(Diário!$C$4:$C$2662&lt;=EOMONTH(G$4,0))*(Diário!$F$4:$F$2662))
+SUMPRODUCT(('Comp.'!$D$5:$D$402=$B59)*('Comp.'!$B$5:$B$402&gt;=G$4)*('Comp.'!$B$5:$B$402&lt;=EOMONTH(G$4,0))*('Comp.'!$E$5:$E$402))</f>
        <v>0</v>
      </c>
      <c r="H59" s="11">
        <f>SUMPRODUCT((Diário!$E$4:$E$2662='Analítico Cp.'!$B59)*(Diário!$C$4:$C$2662&gt;=H$4)*(Diário!$C$4:$C$2662&lt;=EOMONTH(H$4,0))*(Diário!$F$4:$F$2662))
+SUMPRODUCT(('Comp.'!$D$5:$D$402=$B59)*('Comp.'!$B$5:$B$402&gt;=H$4)*('Comp.'!$B$5:$B$402&lt;=EOMONTH(H$4,0))*('Comp.'!$E$5:$E$402))</f>
        <v>0</v>
      </c>
      <c r="I59" s="11">
        <f>SUMPRODUCT((Diário!$E$4:$E$2662='Analítico Cp.'!$B59)*(Diário!$C$4:$C$2662&gt;=I$4)*(Diário!$C$4:$C$2662&lt;=EOMONTH(I$4,0))*(Diário!$F$4:$F$2662))
+SUMPRODUCT(('Comp.'!$D$5:$D$402=$B59)*('Comp.'!$B$5:$B$402&gt;=I$4)*('Comp.'!$B$5:$B$402&lt;=EOMONTH(I$4,0))*('Comp.'!$E$5:$E$402))</f>
        <v>0</v>
      </c>
      <c r="J59" s="11">
        <f>SUMPRODUCT((Diário!$E$4:$E$2662='Analítico Cp.'!$B59)*(Diário!$C$4:$C$2662&gt;=J$4)*(Diário!$C$4:$C$2662&lt;=EOMONTH(J$4,0))*(Diário!$F$4:$F$2662))
+SUMPRODUCT(('Comp.'!$D$5:$D$402=$B59)*('Comp.'!$B$5:$B$402&gt;=J$4)*('Comp.'!$B$5:$B$402&lt;=EOMONTH(J$4,0))*('Comp.'!$E$5:$E$402))</f>
        <v>0</v>
      </c>
      <c r="K59" s="11">
        <f>SUMPRODUCT((Diário!$E$4:$E$2662='Analítico Cp.'!$B59)*(Diário!$C$4:$C$2662&gt;=K$4)*(Diário!$C$4:$C$2662&lt;=EOMONTH(K$4,0))*(Diário!$F$4:$F$2662))
+SUMPRODUCT(('Comp.'!$D$5:$D$402=$B59)*('Comp.'!$B$5:$B$402&gt;=K$4)*('Comp.'!$B$5:$B$402&lt;=EOMONTH(K$4,0))*('Comp.'!$E$5:$E$402))</f>
        <v>0</v>
      </c>
      <c r="L59" s="11">
        <f>SUMPRODUCT((Diário!$E$4:$E$2662='Analítico Cp.'!$B59)*(Diário!$C$4:$C$2662&gt;=L$4)*(Diário!$C$4:$C$2662&lt;=EOMONTH(L$4,0))*(Diário!$F$4:$F$2662))
+SUMPRODUCT(('Comp.'!$D$5:$D$402=$B59)*('Comp.'!$B$5:$B$402&gt;=L$4)*('Comp.'!$B$5:$B$402&lt;=EOMONTH(L$4,0))*('Comp.'!$E$5:$E$402))</f>
        <v>0</v>
      </c>
      <c r="M59" s="11">
        <f>SUMPRODUCT((Diário!$E$4:$E$2662='Analítico Cp.'!$B59)*(Diário!$C$4:$C$2662&gt;=M$4)*(Diário!$C$4:$C$2662&lt;=EOMONTH(M$4,0))*(Diário!$F$4:$F$2662))
+SUMPRODUCT(('Comp.'!$D$5:$D$402=$B59)*('Comp.'!$B$5:$B$402&gt;=M$4)*('Comp.'!$B$5:$B$402&lt;=EOMONTH(M$4,0))*('Comp.'!$E$5:$E$402))</f>
        <v>0</v>
      </c>
      <c r="N59" s="11">
        <f>SUMPRODUCT((Diário!$E$4:$E$2662='Analítico Cp.'!$B59)*(Diário!$C$4:$C$2662&gt;=N$4)*(Diário!$C$4:$C$2662&lt;=EOMONTH(N$4,0))*(Diário!$F$4:$F$2662))
+SUMPRODUCT(('Comp.'!$D$5:$D$402=$B59)*('Comp.'!$B$5:$B$402&gt;=N$4)*('Comp.'!$B$5:$B$402&lt;=EOMONTH(N$4,0))*('Comp.'!$E$5:$E$402))</f>
        <v>0</v>
      </c>
      <c r="O59" s="12">
        <f t="shared" si="14"/>
        <v>0</v>
      </c>
      <c r="P59" s="95">
        <f t="shared" si="13"/>
        <v>0</v>
      </c>
    </row>
    <row r="60" spans="1:16" ht="23.25" customHeight="1">
      <c r="A60" s="40" t="s">
        <v>19</v>
      </c>
      <c r="B60" s="59" t="s">
        <v>58</v>
      </c>
      <c r="C60" s="11">
        <f>SUMPRODUCT((Diário!$E$4:$E$2662='Analítico Cp.'!$B60)*(Diário!$C$4:$C$2662&gt;=C$4)*(Diário!$C$4:$C$2662&lt;=EOMONTH(C$4,0))*(Diário!$F$4:$F$2662))
+SUMPRODUCT(('Comp.'!$D$5:$D$402=$B60)*('Comp.'!$B$5:$B$402&gt;=C$4)*('Comp.'!$B$5:$B$402&lt;=EOMONTH(C$4,0))*('Comp.'!$E$5:$E$402))</f>
        <v>0</v>
      </c>
      <c r="D60" s="11">
        <f>SUMPRODUCT((Diário!$E$4:$E$2662='Analítico Cp.'!$B60)*(Diário!$C$4:$C$2662&gt;=D$4)*(Diário!$C$4:$C$2662&lt;=EOMONTH(D$4,0))*(Diário!$F$4:$F$2662))
+SUMPRODUCT(('Comp.'!$D$5:$D$402=$B60)*('Comp.'!$B$5:$B$402&gt;=D$4)*('Comp.'!$B$5:$B$402&lt;=EOMONTH(D$4,0))*('Comp.'!$E$5:$E$402))</f>
        <v>0</v>
      </c>
      <c r="E60" s="11">
        <f>SUMPRODUCT((Diário!$E$4:$E$2662='Analítico Cp.'!$B60)*(Diário!$C$4:$C$2662&gt;=E$4)*(Diário!$C$4:$C$2662&lt;=EOMONTH(E$4,0))*(Diário!$F$4:$F$2662))
+SUMPRODUCT(('Comp.'!$D$5:$D$402=$B60)*('Comp.'!$B$5:$B$402&gt;=E$4)*('Comp.'!$B$5:$B$402&lt;=EOMONTH(E$4,0))*('Comp.'!$E$5:$E$402))</f>
        <v>0</v>
      </c>
      <c r="F60" s="11">
        <f>SUMPRODUCT((Diário!$E$4:$E$2662='Analítico Cp.'!$B60)*(Diário!$C$4:$C$2662&gt;=F$4)*(Diário!$C$4:$C$2662&lt;=EOMONTH(F$4,0))*(Diário!$F$4:$F$2662))
+SUMPRODUCT(('Comp.'!$D$5:$D$402=$B60)*('Comp.'!$B$5:$B$402&gt;=F$4)*('Comp.'!$B$5:$B$402&lt;=EOMONTH(F$4,0))*('Comp.'!$E$5:$E$402))</f>
        <v>0</v>
      </c>
      <c r="G60" s="11">
        <f>SUMPRODUCT((Diário!$E$4:$E$2662='Analítico Cp.'!$B60)*(Diário!$C$4:$C$2662&gt;=G$4)*(Diário!$C$4:$C$2662&lt;=EOMONTH(G$4,0))*(Diário!$F$4:$F$2662))
+SUMPRODUCT(('Comp.'!$D$5:$D$402=$B60)*('Comp.'!$B$5:$B$402&gt;=G$4)*('Comp.'!$B$5:$B$402&lt;=EOMONTH(G$4,0))*('Comp.'!$E$5:$E$402))</f>
        <v>0</v>
      </c>
      <c r="H60" s="11">
        <f>SUMPRODUCT((Diário!$E$4:$E$2662='Analítico Cp.'!$B60)*(Diário!$C$4:$C$2662&gt;=H$4)*(Diário!$C$4:$C$2662&lt;=EOMONTH(H$4,0))*(Diário!$F$4:$F$2662))
+SUMPRODUCT(('Comp.'!$D$5:$D$402=$B60)*('Comp.'!$B$5:$B$402&gt;=H$4)*('Comp.'!$B$5:$B$402&lt;=EOMONTH(H$4,0))*('Comp.'!$E$5:$E$402))</f>
        <v>0</v>
      </c>
      <c r="I60" s="11">
        <f>SUMPRODUCT((Diário!$E$4:$E$2662='Analítico Cp.'!$B60)*(Diário!$C$4:$C$2662&gt;=I$4)*(Diário!$C$4:$C$2662&lt;=EOMONTH(I$4,0))*(Diário!$F$4:$F$2662))
+SUMPRODUCT(('Comp.'!$D$5:$D$402=$B60)*('Comp.'!$B$5:$B$402&gt;=I$4)*('Comp.'!$B$5:$B$402&lt;=EOMONTH(I$4,0))*('Comp.'!$E$5:$E$402))</f>
        <v>0</v>
      </c>
      <c r="J60" s="11">
        <f>SUMPRODUCT((Diário!$E$4:$E$2662='Analítico Cp.'!$B60)*(Diário!$C$4:$C$2662&gt;=J$4)*(Diário!$C$4:$C$2662&lt;=EOMONTH(J$4,0))*(Diário!$F$4:$F$2662))
+SUMPRODUCT(('Comp.'!$D$5:$D$402=$B60)*('Comp.'!$B$5:$B$402&gt;=J$4)*('Comp.'!$B$5:$B$402&lt;=EOMONTH(J$4,0))*('Comp.'!$E$5:$E$402))</f>
        <v>0</v>
      </c>
      <c r="K60" s="11">
        <f>SUMPRODUCT((Diário!$E$4:$E$2662='Analítico Cp.'!$B60)*(Diário!$C$4:$C$2662&gt;=K$4)*(Diário!$C$4:$C$2662&lt;=EOMONTH(K$4,0))*(Diário!$F$4:$F$2662))
+SUMPRODUCT(('Comp.'!$D$5:$D$402=$B60)*('Comp.'!$B$5:$B$402&gt;=K$4)*('Comp.'!$B$5:$B$402&lt;=EOMONTH(K$4,0))*('Comp.'!$E$5:$E$402))</f>
        <v>0</v>
      </c>
      <c r="L60" s="11">
        <f>SUMPRODUCT((Diário!$E$4:$E$2662='Analítico Cp.'!$B60)*(Diário!$C$4:$C$2662&gt;=L$4)*(Diário!$C$4:$C$2662&lt;=EOMONTH(L$4,0))*(Diário!$F$4:$F$2662))
+SUMPRODUCT(('Comp.'!$D$5:$D$402=$B60)*('Comp.'!$B$5:$B$402&gt;=L$4)*('Comp.'!$B$5:$B$402&lt;=EOMONTH(L$4,0))*('Comp.'!$E$5:$E$402))</f>
        <v>0</v>
      </c>
      <c r="M60" s="11">
        <f>SUMPRODUCT((Diário!$E$4:$E$2662='Analítico Cp.'!$B60)*(Diário!$C$4:$C$2662&gt;=M$4)*(Diário!$C$4:$C$2662&lt;=EOMONTH(M$4,0))*(Diário!$F$4:$F$2662))
+SUMPRODUCT(('Comp.'!$D$5:$D$402=$B60)*('Comp.'!$B$5:$B$402&gt;=M$4)*('Comp.'!$B$5:$B$402&lt;=EOMONTH(M$4,0))*('Comp.'!$E$5:$E$402))</f>
        <v>0</v>
      </c>
      <c r="N60" s="11">
        <f>SUMPRODUCT((Diário!$E$4:$E$2662='Analítico Cp.'!$B60)*(Diário!$C$4:$C$2662&gt;=N$4)*(Diário!$C$4:$C$2662&lt;=EOMONTH(N$4,0))*(Diário!$F$4:$F$2662))
+SUMPRODUCT(('Comp.'!$D$5:$D$402=$B60)*('Comp.'!$B$5:$B$402&gt;=N$4)*('Comp.'!$B$5:$B$402&lt;=EOMONTH(N$4,0))*('Comp.'!$E$5:$E$402))</f>
        <v>0</v>
      </c>
      <c r="O60" s="12">
        <f t="shared" si="14"/>
        <v>0</v>
      </c>
      <c r="P60" s="95">
        <f t="shared" si="13"/>
        <v>0</v>
      </c>
    </row>
    <row r="61" spans="1:16" ht="23.25" customHeight="1">
      <c r="A61" s="40" t="s">
        <v>20</v>
      </c>
      <c r="B61" s="59" t="s">
        <v>73</v>
      </c>
      <c r="C61" s="11">
        <f>SUMPRODUCT((Diário!$E$4:$E$2662='Analítico Cp.'!$B61)*(Diário!$C$4:$C$2662&gt;=C$4)*(Diário!$C$4:$C$2662&lt;=EOMONTH(C$4,0))*(Diário!$F$4:$F$2662))
+SUMPRODUCT(('Comp.'!$D$5:$D$402=$B61)*('Comp.'!$B$5:$B$402&gt;=C$4)*('Comp.'!$B$5:$B$402&lt;=EOMONTH(C$4,0))*('Comp.'!$E$5:$E$402))</f>
        <v>0</v>
      </c>
      <c r="D61" s="11">
        <f>SUMPRODUCT((Diário!$E$4:$E$2662='Analítico Cp.'!$B61)*(Diário!$C$4:$C$2662&gt;=D$4)*(Diário!$C$4:$C$2662&lt;=EOMONTH(D$4,0))*(Diário!$F$4:$F$2662))
+SUMPRODUCT(('Comp.'!$D$5:$D$402=$B61)*('Comp.'!$B$5:$B$402&gt;=D$4)*('Comp.'!$B$5:$B$402&lt;=EOMONTH(D$4,0))*('Comp.'!$E$5:$E$402))</f>
        <v>0</v>
      </c>
      <c r="E61" s="11">
        <f>SUMPRODUCT((Diário!$E$4:$E$2662='Analítico Cp.'!$B61)*(Diário!$C$4:$C$2662&gt;=E$4)*(Diário!$C$4:$C$2662&lt;=EOMONTH(E$4,0))*(Diário!$F$4:$F$2662))
+SUMPRODUCT(('Comp.'!$D$5:$D$402=$B61)*('Comp.'!$B$5:$B$402&gt;=E$4)*('Comp.'!$B$5:$B$402&lt;=EOMONTH(E$4,0))*('Comp.'!$E$5:$E$402))</f>
        <v>0</v>
      </c>
      <c r="F61" s="11">
        <f>SUMPRODUCT((Diário!$E$4:$E$2662='Analítico Cp.'!$B61)*(Diário!$C$4:$C$2662&gt;=F$4)*(Diário!$C$4:$C$2662&lt;=EOMONTH(F$4,0))*(Diário!$F$4:$F$2662))
+SUMPRODUCT(('Comp.'!$D$5:$D$402=$B61)*('Comp.'!$B$5:$B$402&gt;=F$4)*('Comp.'!$B$5:$B$402&lt;=EOMONTH(F$4,0))*('Comp.'!$E$5:$E$402))</f>
        <v>0</v>
      </c>
      <c r="G61" s="11">
        <f>SUMPRODUCT((Diário!$E$4:$E$2662='Analítico Cp.'!$B61)*(Diário!$C$4:$C$2662&gt;=G$4)*(Diário!$C$4:$C$2662&lt;=EOMONTH(G$4,0))*(Diário!$F$4:$F$2662))
+SUMPRODUCT(('Comp.'!$D$5:$D$402=$B61)*('Comp.'!$B$5:$B$402&gt;=G$4)*('Comp.'!$B$5:$B$402&lt;=EOMONTH(G$4,0))*('Comp.'!$E$5:$E$402))</f>
        <v>0</v>
      </c>
      <c r="H61" s="11">
        <f>SUMPRODUCT((Diário!$E$4:$E$2662='Analítico Cp.'!$B61)*(Diário!$C$4:$C$2662&gt;=H$4)*(Diário!$C$4:$C$2662&lt;=EOMONTH(H$4,0))*(Diário!$F$4:$F$2662))
+SUMPRODUCT(('Comp.'!$D$5:$D$402=$B61)*('Comp.'!$B$5:$B$402&gt;=H$4)*('Comp.'!$B$5:$B$402&lt;=EOMONTH(H$4,0))*('Comp.'!$E$5:$E$402))</f>
        <v>0</v>
      </c>
      <c r="I61" s="11">
        <f>SUMPRODUCT((Diário!$E$4:$E$2662='Analítico Cp.'!$B61)*(Diário!$C$4:$C$2662&gt;=I$4)*(Diário!$C$4:$C$2662&lt;=EOMONTH(I$4,0))*(Diário!$F$4:$F$2662))
+SUMPRODUCT(('Comp.'!$D$5:$D$402=$B61)*('Comp.'!$B$5:$B$402&gt;=I$4)*('Comp.'!$B$5:$B$402&lt;=EOMONTH(I$4,0))*('Comp.'!$E$5:$E$402))</f>
        <v>0</v>
      </c>
      <c r="J61" s="11">
        <f>SUMPRODUCT((Diário!$E$4:$E$2662='Analítico Cp.'!$B61)*(Diário!$C$4:$C$2662&gt;=J$4)*(Diário!$C$4:$C$2662&lt;=EOMONTH(J$4,0))*(Diário!$F$4:$F$2662))
+SUMPRODUCT(('Comp.'!$D$5:$D$402=$B61)*('Comp.'!$B$5:$B$402&gt;=J$4)*('Comp.'!$B$5:$B$402&lt;=EOMONTH(J$4,0))*('Comp.'!$E$5:$E$402))</f>
        <v>0</v>
      </c>
      <c r="K61" s="11">
        <f>SUMPRODUCT((Diário!$E$4:$E$2662='Analítico Cp.'!$B61)*(Diário!$C$4:$C$2662&gt;=K$4)*(Diário!$C$4:$C$2662&lt;=EOMONTH(K$4,0))*(Diário!$F$4:$F$2662))
+SUMPRODUCT(('Comp.'!$D$5:$D$402=$B61)*('Comp.'!$B$5:$B$402&gt;=K$4)*('Comp.'!$B$5:$B$402&lt;=EOMONTH(K$4,0))*('Comp.'!$E$5:$E$402))</f>
        <v>0</v>
      </c>
      <c r="L61" s="11">
        <f>SUMPRODUCT((Diário!$E$4:$E$2662='Analítico Cp.'!$B61)*(Diário!$C$4:$C$2662&gt;=L$4)*(Diário!$C$4:$C$2662&lt;=EOMONTH(L$4,0))*(Diário!$F$4:$F$2662))
+SUMPRODUCT(('Comp.'!$D$5:$D$402=$B61)*('Comp.'!$B$5:$B$402&gt;=L$4)*('Comp.'!$B$5:$B$402&lt;=EOMONTH(L$4,0))*('Comp.'!$E$5:$E$402))</f>
        <v>0</v>
      </c>
      <c r="M61" s="11">
        <f>SUMPRODUCT((Diário!$E$4:$E$2662='Analítico Cp.'!$B61)*(Diário!$C$4:$C$2662&gt;=M$4)*(Diário!$C$4:$C$2662&lt;=EOMONTH(M$4,0))*(Diário!$F$4:$F$2662))
+SUMPRODUCT(('Comp.'!$D$5:$D$402=$B61)*('Comp.'!$B$5:$B$402&gt;=M$4)*('Comp.'!$B$5:$B$402&lt;=EOMONTH(M$4,0))*('Comp.'!$E$5:$E$402))</f>
        <v>0</v>
      </c>
      <c r="N61" s="11">
        <f>SUMPRODUCT((Diário!$E$4:$E$2662='Analítico Cp.'!$B61)*(Diário!$C$4:$C$2662&gt;=N$4)*(Diário!$C$4:$C$2662&lt;=EOMONTH(N$4,0))*(Diário!$F$4:$F$2662))
+SUMPRODUCT(('Comp.'!$D$5:$D$402=$B61)*('Comp.'!$B$5:$B$402&gt;=N$4)*('Comp.'!$B$5:$B$402&lt;=EOMONTH(N$4,0))*('Comp.'!$E$5:$E$402))</f>
        <v>0</v>
      </c>
      <c r="O61" s="12">
        <f t="shared" si="14"/>
        <v>0</v>
      </c>
      <c r="P61" s="95">
        <f t="shared" si="13"/>
        <v>0</v>
      </c>
    </row>
    <row r="62" spans="1:16" ht="23.25" customHeight="1">
      <c r="A62" s="40" t="s">
        <v>104</v>
      </c>
      <c r="B62" s="59" t="s">
        <v>72</v>
      </c>
      <c r="C62" s="11">
        <f>SUMPRODUCT((Diário!$E$4:$E$2662='Analítico Cp.'!$B62)*(Diário!$C$4:$C$2662&gt;=C$4)*(Diário!$C$4:$C$2662&lt;=EOMONTH(C$4,0))*(Diário!$F$4:$F$2662))
+SUMPRODUCT(('Comp.'!$D$5:$D$402=$B62)*('Comp.'!$B$5:$B$402&gt;=C$4)*('Comp.'!$B$5:$B$402&lt;=EOMONTH(C$4,0))*('Comp.'!$E$5:$E$402))</f>
        <v>0</v>
      </c>
      <c r="D62" s="11">
        <f>SUMPRODUCT((Diário!$E$4:$E$2662='Analítico Cp.'!$B62)*(Diário!$C$4:$C$2662&gt;=D$4)*(Diário!$C$4:$C$2662&lt;=EOMONTH(D$4,0))*(Diário!$F$4:$F$2662))
+SUMPRODUCT(('Comp.'!$D$5:$D$402=$B62)*('Comp.'!$B$5:$B$402&gt;=D$4)*('Comp.'!$B$5:$B$402&lt;=EOMONTH(D$4,0))*('Comp.'!$E$5:$E$402))</f>
        <v>0</v>
      </c>
      <c r="E62" s="11">
        <f>SUMPRODUCT((Diário!$E$4:$E$2662='Analítico Cp.'!$B62)*(Diário!$C$4:$C$2662&gt;=E$4)*(Diário!$C$4:$C$2662&lt;=EOMONTH(E$4,0))*(Diário!$F$4:$F$2662))
+SUMPRODUCT(('Comp.'!$D$5:$D$402=$B62)*('Comp.'!$B$5:$B$402&gt;=E$4)*('Comp.'!$B$5:$B$402&lt;=EOMONTH(E$4,0))*('Comp.'!$E$5:$E$402))</f>
        <v>0</v>
      </c>
      <c r="F62" s="11">
        <f>SUMPRODUCT((Diário!$E$4:$E$2662='Analítico Cp.'!$B62)*(Diário!$C$4:$C$2662&gt;=F$4)*(Diário!$C$4:$C$2662&lt;=EOMONTH(F$4,0))*(Diário!$F$4:$F$2662))
+SUMPRODUCT(('Comp.'!$D$5:$D$402=$B62)*('Comp.'!$B$5:$B$402&gt;=F$4)*('Comp.'!$B$5:$B$402&lt;=EOMONTH(F$4,0))*('Comp.'!$E$5:$E$402))</f>
        <v>0</v>
      </c>
      <c r="G62" s="11">
        <f>SUMPRODUCT((Diário!$E$4:$E$2662='Analítico Cp.'!$B62)*(Diário!$C$4:$C$2662&gt;=G$4)*(Diário!$C$4:$C$2662&lt;=EOMONTH(G$4,0))*(Diário!$F$4:$F$2662))
+SUMPRODUCT(('Comp.'!$D$5:$D$402=$B62)*('Comp.'!$B$5:$B$402&gt;=G$4)*('Comp.'!$B$5:$B$402&lt;=EOMONTH(G$4,0))*('Comp.'!$E$5:$E$402))</f>
        <v>0</v>
      </c>
      <c r="H62" s="11">
        <f>SUMPRODUCT((Diário!$E$4:$E$2662='Analítico Cp.'!$B62)*(Diário!$C$4:$C$2662&gt;=H$4)*(Diário!$C$4:$C$2662&lt;=EOMONTH(H$4,0))*(Diário!$F$4:$F$2662))
+SUMPRODUCT(('Comp.'!$D$5:$D$402=$B62)*('Comp.'!$B$5:$B$402&gt;=H$4)*('Comp.'!$B$5:$B$402&lt;=EOMONTH(H$4,0))*('Comp.'!$E$5:$E$402))</f>
        <v>0</v>
      </c>
      <c r="I62" s="11">
        <f>SUMPRODUCT((Diário!$E$4:$E$2662='Analítico Cp.'!$B62)*(Diário!$C$4:$C$2662&gt;=I$4)*(Diário!$C$4:$C$2662&lt;=EOMONTH(I$4,0))*(Diário!$F$4:$F$2662))
+SUMPRODUCT(('Comp.'!$D$5:$D$402=$B62)*('Comp.'!$B$5:$B$402&gt;=I$4)*('Comp.'!$B$5:$B$402&lt;=EOMONTH(I$4,0))*('Comp.'!$E$5:$E$402))</f>
        <v>0</v>
      </c>
      <c r="J62" s="11">
        <f>SUMPRODUCT((Diário!$E$4:$E$2662='Analítico Cp.'!$B62)*(Diário!$C$4:$C$2662&gt;=J$4)*(Diário!$C$4:$C$2662&lt;=EOMONTH(J$4,0))*(Diário!$F$4:$F$2662))
+SUMPRODUCT(('Comp.'!$D$5:$D$402=$B62)*('Comp.'!$B$5:$B$402&gt;=J$4)*('Comp.'!$B$5:$B$402&lt;=EOMONTH(J$4,0))*('Comp.'!$E$5:$E$402))</f>
        <v>0</v>
      </c>
      <c r="K62" s="11">
        <f>SUMPRODUCT((Diário!$E$4:$E$2662='Analítico Cp.'!$B62)*(Diário!$C$4:$C$2662&gt;=K$4)*(Diário!$C$4:$C$2662&lt;=EOMONTH(K$4,0))*(Diário!$F$4:$F$2662))
+SUMPRODUCT(('Comp.'!$D$5:$D$402=$B62)*('Comp.'!$B$5:$B$402&gt;=K$4)*('Comp.'!$B$5:$B$402&lt;=EOMONTH(K$4,0))*('Comp.'!$E$5:$E$402))</f>
        <v>0</v>
      </c>
      <c r="L62" s="11">
        <f>SUMPRODUCT((Diário!$E$4:$E$2662='Analítico Cp.'!$B62)*(Diário!$C$4:$C$2662&gt;=L$4)*(Diário!$C$4:$C$2662&lt;=EOMONTH(L$4,0))*(Diário!$F$4:$F$2662))
+SUMPRODUCT(('Comp.'!$D$5:$D$402=$B62)*('Comp.'!$B$5:$B$402&gt;=L$4)*('Comp.'!$B$5:$B$402&lt;=EOMONTH(L$4,0))*('Comp.'!$E$5:$E$402))</f>
        <v>0</v>
      </c>
      <c r="M62" s="11">
        <f>SUMPRODUCT((Diário!$E$4:$E$2662='Analítico Cp.'!$B62)*(Diário!$C$4:$C$2662&gt;=M$4)*(Diário!$C$4:$C$2662&lt;=EOMONTH(M$4,0))*(Diário!$F$4:$F$2662))
+SUMPRODUCT(('Comp.'!$D$5:$D$402=$B62)*('Comp.'!$B$5:$B$402&gt;=M$4)*('Comp.'!$B$5:$B$402&lt;=EOMONTH(M$4,0))*('Comp.'!$E$5:$E$402))</f>
        <v>0</v>
      </c>
      <c r="N62" s="11">
        <f>SUMPRODUCT((Diário!$E$4:$E$2662='Analítico Cp.'!$B62)*(Diário!$C$4:$C$2662&gt;=N$4)*(Diário!$C$4:$C$2662&lt;=EOMONTH(N$4,0))*(Diário!$F$4:$F$2662))
+SUMPRODUCT(('Comp.'!$D$5:$D$402=$B62)*('Comp.'!$B$5:$B$402&gt;=N$4)*('Comp.'!$B$5:$B$402&lt;=EOMONTH(N$4,0))*('Comp.'!$E$5:$E$402))</f>
        <v>0</v>
      </c>
      <c r="O62" s="12">
        <f t="shared" si="14"/>
        <v>0</v>
      </c>
      <c r="P62" s="95">
        <f t="shared" si="13"/>
        <v>0</v>
      </c>
    </row>
    <row r="63" spans="1:16" ht="23.25" customHeight="1">
      <c r="A63" s="40" t="s">
        <v>105</v>
      </c>
      <c r="B63" s="59" t="s">
        <v>150</v>
      </c>
      <c r="C63" s="11">
        <f>SUMPRODUCT((Diário!$E$4:$E$2662='Analítico Cp.'!$B63)*(Diário!$C$4:$C$2662&gt;=C$4)*(Diário!$C$4:$C$2662&lt;=EOMONTH(C$4,0))*(Diário!$F$4:$F$2662))
+SUMPRODUCT(('Comp.'!$D$5:$D$402=$B63)*('Comp.'!$B$5:$B$402&gt;=C$4)*('Comp.'!$B$5:$B$402&lt;=EOMONTH(C$4,0))*('Comp.'!$E$5:$E$402))</f>
        <v>907.4</v>
      </c>
      <c r="D63" s="11">
        <f>SUMPRODUCT((Diário!$E$4:$E$2662='Analítico Cp.'!$B63)*(Diário!$C$4:$C$2662&gt;=D$4)*(Diário!$C$4:$C$2662&lt;=EOMONTH(D$4,0))*(Diário!$F$4:$F$2662))
+SUMPRODUCT(('Comp.'!$D$5:$D$402=$B63)*('Comp.'!$B$5:$B$402&gt;=D$4)*('Comp.'!$B$5:$B$402&lt;=EOMONTH(D$4,0))*('Comp.'!$E$5:$E$402))</f>
        <v>887.58</v>
      </c>
      <c r="E63" s="11">
        <f>SUMPRODUCT((Diário!$E$4:$E$2662='Analítico Cp.'!$B63)*(Diário!$C$4:$C$2662&gt;=E$4)*(Diário!$C$4:$C$2662&lt;=EOMONTH(E$4,0))*(Diário!$F$4:$F$2662))
+SUMPRODUCT(('Comp.'!$D$5:$D$402=$B63)*('Comp.'!$B$5:$B$402&gt;=E$4)*('Comp.'!$B$5:$B$402&lt;=EOMONTH(E$4,0))*('Comp.'!$E$5:$E$402))</f>
        <v>1075.95</v>
      </c>
      <c r="F63" s="11">
        <f>SUMPRODUCT((Diário!$E$4:$E$2662='Analítico Cp.'!$B63)*(Diário!$C$4:$C$2662&gt;=F$4)*(Diário!$C$4:$C$2662&lt;=EOMONTH(F$4,0))*(Diário!$F$4:$F$2662))
+SUMPRODUCT(('Comp.'!$D$5:$D$402=$B63)*('Comp.'!$B$5:$B$402&gt;=F$4)*('Comp.'!$B$5:$B$402&lt;=EOMONTH(F$4,0))*('Comp.'!$E$5:$E$402))</f>
        <v>1075.95</v>
      </c>
      <c r="G63" s="11">
        <f>SUMPRODUCT((Diário!$E$4:$E$2662='Analítico Cp.'!$B63)*(Diário!$C$4:$C$2662&gt;=G$4)*(Diário!$C$4:$C$2662&lt;=EOMONTH(G$4,0))*(Diário!$F$4:$F$2662))
+SUMPRODUCT(('Comp.'!$D$5:$D$402=$B63)*('Comp.'!$B$5:$B$402&gt;=G$4)*('Comp.'!$B$5:$B$402&lt;=EOMONTH(G$4,0))*('Comp.'!$E$5:$E$402))</f>
        <v>887.58</v>
      </c>
      <c r="H63" s="11">
        <f>SUMPRODUCT((Diário!$E$4:$E$2662='Analítico Cp.'!$B63)*(Diário!$C$4:$C$2662&gt;=H$4)*(Diário!$C$4:$C$2662&lt;=EOMONTH(H$4,0))*(Diário!$F$4:$F$2662))
+SUMPRODUCT(('Comp.'!$D$5:$D$402=$B63)*('Comp.'!$B$5:$B$402&gt;=H$4)*('Comp.'!$B$5:$B$402&lt;=EOMONTH(H$4,0))*('Comp.'!$E$5:$E$402))</f>
        <v>0</v>
      </c>
      <c r="I63" s="11">
        <f>SUMPRODUCT((Diário!$E$4:$E$2662='Analítico Cp.'!$B63)*(Diário!$C$4:$C$2662&gt;=I$4)*(Diário!$C$4:$C$2662&lt;=EOMONTH(I$4,0))*(Diário!$F$4:$F$2662))
+SUMPRODUCT(('Comp.'!$D$5:$D$402=$B63)*('Comp.'!$B$5:$B$402&gt;=I$4)*('Comp.'!$B$5:$B$402&lt;=EOMONTH(I$4,0))*('Comp.'!$E$5:$E$402))</f>
        <v>0</v>
      </c>
      <c r="J63" s="11">
        <f>SUMPRODUCT((Diário!$E$4:$E$2662='Analítico Cp.'!$B63)*(Diário!$C$4:$C$2662&gt;=J$4)*(Diário!$C$4:$C$2662&lt;=EOMONTH(J$4,0))*(Diário!$F$4:$F$2662))
+SUMPRODUCT(('Comp.'!$D$5:$D$402=$B63)*('Comp.'!$B$5:$B$402&gt;=J$4)*('Comp.'!$B$5:$B$402&lt;=EOMONTH(J$4,0))*('Comp.'!$E$5:$E$402))</f>
        <v>0</v>
      </c>
      <c r="K63" s="11">
        <f>SUMPRODUCT((Diário!$E$4:$E$2662='Analítico Cp.'!$B63)*(Diário!$C$4:$C$2662&gt;=K$4)*(Diário!$C$4:$C$2662&lt;=EOMONTH(K$4,0))*(Diário!$F$4:$F$2662))
+SUMPRODUCT(('Comp.'!$D$5:$D$402=$B63)*('Comp.'!$B$5:$B$402&gt;=K$4)*('Comp.'!$B$5:$B$402&lt;=EOMONTH(K$4,0))*('Comp.'!$E$5:$E$402))</f>
        <v>0</v>
      </c>
      <c r="L63" s="11">
        <f>SUMPRODUCT((Diário!$E$4:$E$2662='Analítico Cp.'!$B63)*(Diário!$C$4:$C$2662&gt;=L$4)*(Diário!$C$4:$C$2662&lt;=EOMONTH(L$4,0))*(Diário!$F$4:$F$2662))
+SUMPRODUCT(('Comp.'!$D$5:$D$402=$B63)*('Comp.'!$B$5:$B$402&gt;=L$4)*('Comp.'!$B$5:$B$402&lt;=EOMONTH(L$4,0))*('Comp.'!$E$5:$E$402))</f>
        <v>0</v>
      </c>
      <c r="M63" s="11">
        <f>SUMPRODUCT((Diário!$E$4:$E$2662='Analítico Cp.'!$B63)*(Diário!$C$4:$C$2662&gt;=M$4)*(Diário!$C$4:$C$2662&lt;=EOMONTH(M$4,0))*(Diário!$F$4:$F$2662))
+SUMPRODUCT(('Comp.'!$D$5:$D$402=$B63)*('Comp.'!$B$5:$B$402&gt;=M$4)*('Comp.'!$B$5:$B$402&lt;=EOMONTH(M$4,0))*('Comp.'!$E$5:$E$402))</f>
        <v>0</v>
      </c>
      <c r="N63" s="11">
        <f>SUMPRODUCT((Diário!$E$4:$E$2662='Analítico Cp.'!$B63)*(Diário!$C$4:$C$2662&gt;=N$4)*(Diário!$C$4:$C$2662&lt;=EOMONTH(N$4,0))*(Diário!$F$4:$F$2662))
+SUMPRODUCT(('Comp.'!$D$5:$D$402=$B63)*('Comp.'!$B$5:$B$402&gt;=N$4)*('Comp.'!$B$5:$B$402&lt;=EOMONTH(N$4,0))*('Comp.'!$E$5:$E$402))</f>
        <v>0</v>
      </c>
      <c r="O63" s="12">
        <f t="shared" si="14"/>
        <v>4834.46</v>
      </c>
      <c r="P63" s="95">
        <f t="shared" si="13"/>
        <v>2.4211389154506257E-4</v>
      </c>
    </row>
    <row r="64" spans="1:16" ht="23.25" customHeight="1">
      <c r="A64" s="40" t="s">
        <v>106</v>
      </c>
      <c r="B64" s="59" t="s">
        <v>151</v>
      </c>
      <c r="C64" s="11">
        <f>SUMPRODUCT((Diário!$E$4:$E$2662='Analítico Cp.'!$B64)*(Diário!$C$4:$C$2662&gt;=C$4)*(Diário!$C$4:$C$2662&lt;=EOMONTH(C$4,0))*(Diário!$F$4:$F$2662))
+SUMPRODUCT(('Comp.'!$D$5:$D$402=$B64)*('Comp.'!$B$5:$B$402&gt;=C$4)*('Comp.'!$B$5:$B$402&lt;=EOMONTH(C$4,0))*('Comp.'!$E$5:$E$402))</f>
        <v>1240.32</v>
      </c>
      <c r="D64" s="11">
        <f>SUMPRODUCT((Diário!$E$4:$E$2662='Analítico Cp.'!$B64)*(Diário!$C$4:$C$2662&gt;=D$4)*(Diário!$C$4:$C$2662&lt;=EOMONTH(D$4,0))*(Diário!$F$4:$F$2662))
+SUMPRODUCT(('Comp.'!$D$5:$D$402=$B64)*('Comp.'!$B$5:$B$402&gt;=D$4)*('Comp.'!$B$5:$B$402&lt;=EOMONTH(D$4,0))*('Comp.'!$E$5:$E$402))</f>
        <v>1492.3200000000002</v>
      </c>
      <c r="E64" s="11">
        <f>SUMPRODUCT((Diário!$E$4:$E$2662='Analítico Cp.'!$B64)*(Diário!$C$4:$C$2662&gt;=E$4)*(Diário!$C$4:$C$2662&lt;=EOMONTH(E$4,0))*(Diário!$F$4:$F$2662))
+SUMPRODUCT(('Comp.'!$D$5:$D$402=$B64)*('Comp.'!$B$5:$B$402&gt;=E$4)*('Comp.'!$B$5:$B$402&lt;=EOMONTH(E$4,0))*('Comp.'!$E$5:$E$402))</f>
        <v>966.27</v>
      </c>
      <c r="F64" s="11">
        <f>SUMPRODUCT((Diário!$E$4:$E$2662='Analítico Cp.'!$B64)*(Diário!$C$4:$C$2662&gt;=F$4)*(Diário!$C$4:$C$2662&lt;=EOMONTH(F$4,0))*(Diário!$F$4:$F$2662))
+SUMPRODUCT(('Comp.'!$D$5:$D$402=$B64)*('Comp.'!$B$5:$B$402&gt;=F$4)*('Comp.'!$B$5:$B$402&lt;=EOMONTH(F$4,0))*('Comp.'!$E$5:$E$402))</f>
        <v>966.27</v>
      </c>
      <c r="G64" s="11">
        <f>SUMPRODUCT((Diário!$E$4:$E$2662='Analítico Cp.'!$B64)*(Diário!$C$4:$C$2662&gt;=G$4)*(Diário!$C$4:$C$2662&lt;=EOMONTH(G$4,0))*(Diário!$F$4:$F$2662))
+SUMPRODUCT(('Comp.'!$D$5:$D$402=$B64)*('Comp.'!$B$5:$B$402&gt;=G$4)*('Comp.'!$B$5:$B$402&lt;=EOMONTH(G$4,0))*('Comp.'!$E$5:$E$402))</f>
        <v>1154.6400000000001</v>
      </c>
      <c r="H64" s="11">
        <f>SUMPRODUCT((Diário!$E$4:$E$2662='Analítico Cp.'!$B64)*(Diário!$C$4:$C$2662&gt;=H$4)*(Diário!$C$4:$C$2662&lt;=EOMONTH(H$4,0))*(Diário!$F$4:$F$2662))
+SUMPRODUCT(('Comp.'!$D$5:$D$402=$B64)*('Comp.'!$B$5:$B$402&gt;=H$4)*('Comp.'!$B$5:$B$402&lt;=EOMONTH(H$4,0))*('Comp.'!$E$5:$E$402))</f>
        <v>0</v>
      </c>
      <c r="I64" s="11">
        <f>SUMPRODUCT((Diário!$E$4:$E$2662='Analítico Cp.'!$B64)*(Diário!$C$4:$C$2662&gt;=I$4)*(Diário!$C$4:$C$2662&lt;=EOMONTH(I$4,0))*(Diário!$F$4:$F$2662))
+SUMPRODUCT(('Comp.'!$D$5:$D$402=$B64)*('Comp.'!$B$5:$B$402&gt;=I$4)*('Comp.'!$B$5:$B$402&lt;=EOMONTH(I$4,0))*('Comp.'!$E$5:$E$402))</f>
        <v>0</v>
      </c>
      <c r="J64" s="11">
        <f>SUMPRODUCT((Diário!$E$4:$E$2662='Analítico Cp.'!$B64)*(Diário!$C$4:$C$2662&gt;=J$4)*(Diário!$C$4:$C$2662&lt;=EOMONTH(J$4,0))*(Diário!$F$4:$F$2662))
+SUMPRODUCT(('Comp.'!$D$5:$D$402=$B64)*('Comp.'!$B$5:$B$402&gt;=J$4)*('Comp.'!$B$5:$B$402&lt;=EOMONTH(J$4,0))*('Comp.'!$E$5:$E$402))</f>
        <v>0</v>
      </c>
      <c r="K64" s="11">
        <f>SUMPRODUCT((Diário!$E$4:$E$2662='Analítico Cp.'!$B64)*(Diário!$C$4:$C$2662&gt;=K$4)*(Diário!$C$4:$C$2662&lt;=EOMONTH(K$4,0))*(Diário!$F$4:$F$2662))
+SUMPRODUCT(('Comp.'!$D$5:$D$402=$B64)*('Comp.'!$B$5:$B$402&gt;=K$4)*('Comp.'!$B$5:$B$402&lt;=EOMONTH(K$4,0))*('Comp.'!$E$5:$E$402))</f>
        <v>0</v>
      </c>
      <c r="L64" s="11">
        <f>SUMPRODUCT((Diário!$E$4:$E$2662='Analítico Cp.'!$B64)*(Diário!$C$4:$C$2662&gt;=L$4)*(Diário!$C$4:$C$2662&lt;=EOMONTH(L$4,0))*(Diário!$F$4:$F$2662))
+SUMPRODUCT(('Comp.'!$D$5:$D$402=$B64)*('Comp.'!$B$5:$B$402&gt;=L$4)*('Comp.'!$B$5:$B$402&lt;=EOMONTH(L$4,0))*('Comp.'!$E$5:$E$402))</f>
        <v>0</v>
      </c>
      <c r="M64" s="11">
        <f>SUMPRODUCT((Diário!$E$4:$E$2662='Analítico Cp.'!$B64)*(Diário!$C$4:$C$2662&gt;=M$4)*(Diário!$C$4:$C$2662&lt;=EOMONTH(M$4,0))*(Diário!$F$4:$F$2662))
+SUMPRODUCT(('Comp.'!$D$5:$D$402=$B64)*('Comp.'!$B$5:$B$402&gt;=M$4)*('Comp.'!$B$5:$B$402&lt;=EOMONTH(M$4,0))*('Comp.'!$E$5:$E$402))</f>
        <v>0</v>
      </c>
      <c r="N64" s="11">
        <f>SUMPRODUCT((Diário!$E$4:$E$2662='Analítico Cp.'!$B64)*(Diário!$C$4:$C$2662&gt;=N$4)*(Diário!$C$4:$C$2662&lt;=EOMONTH(N$4,0))*(Diário!$F$4:$F$2662))
+SUMPRODUCT(('Comp.'!$D$5:$D$402=$B64)*('Comp.'!$B$5:$B$402&gt;=N$4)*('Comp.'!$B$5:$B$402&lt;=EOMONTH(N$4,0))*('Comp.'!$E$5:$E$402))</f>
        <v>0</v>
      </c>
      <c r="O64" s="12">
        <f t="shared" si="14"/>
        <v>5819.8200000000006</v>
      </c>
      <c r="P64" s="95">
        <f t="shared" si="13"/>
        <v>2.9146156308911155E-4</v>
      </c>
    </row>
    <row r="65" spans="1:16" ht="23.25" customHeight="1">
      <c r="A65" s="40" t="s">
        <v>107</v>
      </c>
      <c r="B65" s="59" t="s">
        <v>167</v>
      </c>
      <c r="C65" s="11">
        <f>SUMPRODUCT((Diário!$E$4:$E$2662='Analítico Cp.'!$B65)*(Diário!$C$4:$C$2662&gt;=C$4)*(Diário!$C$4:$C$2662&lt;=EOMONTH(C$4,0))*(Diário!$F$4:$F$2662))
+SUMPRODUCT(('Comp.'!$D$5:$D$402=$B65)*('Comp.'!$B$5:$B$402&gt;=C$4)*('Comp.'!$B$5:$B$402&lt;=EOMONTH(C$4,0))*('Comp.'!$E$5:$E$402))</f>
        <v>1388.53</v>
      </c>
      <c r="D65" s="11">
        <f>SUMPRODUCT((Diário!$E$4:$E$2662='Analítico Cp.'!$B65)*(Diário!$C$4:$C$2662&gt;=D$4)*(Diário!$C$4:$C$2662&lt;=EOMONTH(D$4,0))*(Diário!$F$4:$F$2662))
+SUMPRODUCT(('Comp.'!$D$5:$D$402=$B65)*('Comp.'!$B$5:$B$402&gt;=D$4)*('Comp.'!$B$5:$B$402&lt;=EOMONTH(D$4,0))*('Comp.'!$E$5:$E$402))</f>
        <v>1388.53</v>
      </c>
      <c r="E65" s="11">
        <f>SUMPRODUCT((Diário!$E$4:$E$2662='Analítico Cp.'!$B65)*(Diário!$C$4:$C$2662&gt;=E$4)*(Diário!$C$4:$C$2662&lt;=EOMONTH(E$4,0))*(Diário!$F$4:$F$2662))
+SUMPRODUCT(('Comp.'!$D$5:$D$402=$B65)*('Comp.'!$B$5:$B$402&gt;=E$4)*('Comp.'!$B$5:$B$402&lt;=EOMONTH(E$4,0))*('Comp.'!$E$5:$E$402))</f>
        <v>1388.53</v>
      </c>
      <c r="F65" s="11">
        <f>SUMPRODUCT((Diário!$E$4:$E$2662='Analítico Cp.'!$B65)*(Diário!$C$4:$C$2662&gt;=F$4)*(Diário!$C$4:$C$2662&lt;=EOMONTH(F$4,0))*(Diário!$F$4:$F$2662))
+SUMPRODUCT(('Comp.'!$D$5:$D$402=$B65)*('Comp.'!$B$5:$B$402&gt;=F$4)*('Comp.'!$B$5:$B$402&lt;=EOMONTH(F$4,0))*('Comp.'!$E$5:$E$402))</f>
        <v>1508.9</v>
      </c>
      <c r="G65" s="11">
        <f>SUMPRODUCT((Diário!$E$4:$E$2662='Analítico Cp.'!$B65)*(Diário!$C$4:$C$2662&gt;=G$4)*(Diário!$C$4:$C$2662&lt;=EOMONTH(G$4,0))*(Diário!$F$4:$F$2662))
+SUMPRODUCT(('Comp.'!$D$5:$D$402=$B65)*('Comp.'!$B$5:$B$402&gt;=G$4)*('Comp.'!$B$5:$B$402&lt;=EOMONTH(G$4,0))*('Comp.'!$E$5:$E$402))</f>
        <v>1267.22</v>
      </c>
      <c r="H65" s="11">
        <f>SUMPRODUCT((Diário!$E$4:$E$2662='Analítico Cp.'!$B65)*(Diário!$C$4:$C$2662&gt;=H$4)*(Diário!$C$4:$C$2662&lt;=EOMONTH(H$4,0))*(Diário!$F$4:$F$2662))
+SUMPRODUCT(('Comp.'!$D$5:$D$402=$B65)*('Comp.'!$B$5:$B$402&gt;=H$4)*('Comp.'!$B$5:$B$402&lt;=EOMONTH(H$4,0))*('Comp.'!$E$5:$E$402))</f>
        <v>1248.27</v>
      </c>
      <c r="I65" s="11">
        <f>SUMPRODUCT((Diário!$E$4:$E$2662='Analítico Cp.'!$B65)*(Diário!$C$4:$C$2662&gt;=I$4)*(Diário!$C$4:$C$2662&lt;=EOMONTH(I$4,0))*(Diário!$F$4:$F$2662))
+SUMPRODUCT(('Comp.'!$D$5:$D$402=$B65)*('Comp.'!$B$5:$B$402&gt;=I$4)*('Comp.'!$B$5:$B$402&lt;=EOMONTH(I$4,0))*('Comp.'!$E$5:$E$402))</f>
        <v>0</v>
      </c>
      <c r="J65" s="11">
        <f>SUMPRODUCT((Diário!$E$4:$E$2662='Analítico Cp.'!$B65)*(Diário!$C$4:$C$2662&gt;=J$4)*(Diário!$C$4:$C$2662&lt;=EOMONTH(J$4,0))*(Diário!$F$4:$F$2662))
+SUMPRODUCT(('Comp.'!$D$5:$D$402=$B65)*('Comp.'!$B$5:$B$402&gt;=J$4)*('Comp.'!$B$5:$B$402&lt;=EOMONTH(J$4,0))*('Comp.'!$E$5:$E$402))</f>
        <v>0</v>
      </c>
      <c r="K65" s="11">
        <f>SUMPRODUCT((Diário!$E$4:$E$2662='Analítico Cp.'!$B65)*(Diário!$C$4:$C$2662&gt;=K$4)*(Diário!$C$4:$C$2662&lt;=EOMONTH(K$4,0))*(Diário!$F$4:$F$2662))
+SUMPRODUCT(('Comp.'!$D$5:$D$402=$B65)*('Comp.'!$B$5:$B$402&gt;=K$4)*('Comp.'!$B$5:$B$402&lt;=EOMONTH(K$4,0))*('Comp.'!$E$5:$E$402))</f>
        <v>0</v>
      </c>
      <c r="L65" s="11">
        <f>SUMPRODUCT((Diário!$E$4:$E$2662='Analítico Cp.'!$B65)*(Diário!$C$4:$C$2662&gt;=L$4)*(Diário!$C$4:$C$2662&lt;=EOMONTH(L$4,0))*(Diário!$F$4:$F$2662))
+SUMPRODUCT(('Comp.'!$D$5:$D$402=$B65)*('Comp.'!$B$5:$B$402&gt;=L$4)*('Comp.'!$B$5:$B$402&lt;=EOMONTH(L$4,0))*('Comp.'!$E$5:$E$402))</f>
        <v>0</v>
      </c>
      <c r="M65" s="11">
        <f>SUMPRODUCT((Diário!$E$4:$E$2662='Analítico Cp.'!$B65)*(Diário!$C$4:$C$2662&gt;=M$4)*(Diário!$C$4:$C$2662&lt;=EOMONTH(M$4,0))*(Diário!$F$4:$F$2662))
+SUMPRODUCT(('Comp.'!$D$5:$D$402=$B65)*('Comp.'!$B$5:$B$402&gt;=M$4)*('Comp.'!$B$5:$B$402&lt;=EOMONTH(M$4,0))*('Comp.'!$E$5:$E$402))</f>
        <v>0</v>
      </c>
      <c r="N65" s="11">
        <f>SUMPRODUCT((Diário!$E$4:$E$2662='Analítico Cp.'!$B65)*(Diário!$C$4:$C$2662&gt;=N$4)*(Diário!$C$4:$C$2662&lt;=EOMONTH(N$4,0))*(Diário!$F$4:$F$2662))
+SUMPRODUCT(('Comp.'!$D$5:$D$402=$B65)*('Comp.'!$B$5:$B$402&gt;=N$4)*('Comp.'!$B$5:$B$402&lt;=EOMONTH(N$4,0))*('Comp.'!$E$5:$E$402))</f>
        <v>0</v>
      </c>
      <c r="O65" s="12">
        <f t="shared" si="14"/>
        <v>8189.98</v>
      </c>
      <c r="P65" s="95">
        <f t="shared" si="13"/>
        <v>4.101612030043131E-4</v>
      </c>
    </row>
    <row r="66" spans="1:16" ht="23.25" customHeight="1">
      <c r="A66" s="40" t="s">
        <v>108</v>
      </c>
      <c r="B66" s="59" t="s">
        <v>164</v>
      </c>
      <c r="C66" s="11">
        <f>SUMPRODUCT((Diário!$E$4:$E$2662='Analítico Cp.'!$B66)*(Diário!$C$4:$C$2662&gt;=C$4)*(Diário!$C$4:$C$2662&lt;=EOMONTH(C$4,0))*(Diário!$F$4:$F$2662))
+SUMPRODUCT(('Comp.'!$D$5:$D$402=$B66)*('Comp.'!$B$5:$B$402&gt;=C$4)*('Comp.'!$B$5:$B$402&lt;=EOMONTH(C$4,0))*('Comp.'!$E$5:$E$402))</f>
        <v>16512.14</v>
      </c>
      <c r="D66" s="11">
        <f>SUMPRODUCT((Diário!$E$4:$E$2662='Analítico Cp.'!$B66)*(Diário!$C$4:$C$2662&gt;=D$4)*(Diário!$C$4:$C$2662&lt;=EOMONTH(D$4,0))*(Diário!$F$4:$F$2662))
+SUMPRODUCT(('Comp.'!$D$5:$D$402=$B66)*('Comp.'!$B$5:$B$402&gt;=D$4)*('Comp.'!$B$5:$B$402&lt;=EOMONTH(D$4,0))*('Comp.'!$E$5:$E$402))</f>
        <v>31363.450000000004</v>
      </c>
      <c r="E66" s="11">
        <f>SUMPRODUCT((Diário!$E$4:$E$2662='Analítico Cp.'!$B66)*(Diário!$C$4:$C$2662&gt;=E$4)*(Diário!$C$4:$C$2662&lt;=EOMONTH(E$4,0))*(Diário!$F$4:$F$2662))
+SUMPRODUCT(('Comp.'!$D$5:$D$402=$B66)*('Comp.'!$B$5:$B$402&gt;=E$4)*('Comp.'!$B$5:$B$402&lt;=EOMONTH(E$4,0))*('Comp.'!$E$5:$E$402))</f>
        <v>15077.23</v>
      </c>
      <c r="F66" s="11">
        <f>SUMPRODUCT((Diário!$E$4:$E$2662='Analítico Cp.'!$B66)*(Diário!$C$4:$C$2662&gt;=F$4)*(Diário!$C$4:$C$2662&lt;=EOMONTH(F$4,0))*(Diário!$F$4:$F$2662))
+SUMPRODUCT(('Comp.'!$D$5:$D$402=$B66)*('Comp.'!$B$5:$B$402&gt;=F$4)*('Comp.'!$B$5:$B$402&lt;=EOMONTH(F$4,0))*('Comp.'!$E$5:$E$402))</f>
        <v>0</v>
      </c>
      <c r="G66" s="11">
        <f>SUMPRODUCT((Diário!$E$4:$E$2662='Analítico Cp.'!$B66)*(Diário!$C$4:$C$2662&gt;=G$4)*(Diário!$C$4:$C$2662&lt;=EOMONTH(G$4,0))*(Diário!$F$4:$F$2662))
+SUMPRODUCT(('Comp.'!$D$5:$D$402=$B66)*('Comp.'!$B$5:$B$402&gt;=G$4)*('Comp.'!$B$5:$B$402&lt;=EOMONTH(G$4,0))*('Comp.'!$E$5:$E$402))</f>
        <v>0</v>
      </c>
      <c r="H66" s="11">
        <f>SUMPRODUCT((Diário!$E$4:$E$2662='Analítico Cp.'!$B66)*(Diário!$C$4:$C$2662&gt;=H$4)*(Diário!$C$4:$C$2662&lt;=EOMONTH(H$4,0))*(Diário!$F$4:$F$2662))
+SUMPRODUCT(('Comp.'!$D$5:$D$402=$B66)*('Comp.'!$B$5:$B$402&gt;=H$4)*('Comp.'!$B$5:$B$402&lt;=EOMONTH(H$4,0))*('Comp.'!$E$5:$E$402))</f>
        <v>0</v>
      </c>
      <c r="I66" s="11">
        <f>SUMPRODUCT((Diário!$E$4:$E$2662='Analítico Cp.'!$B66)*(Diário!$C$4:$C$2662&gt;=I$4)*(Diário!$C$4:$C$2662&lt;=EOMONTH(I$4,0))*(Diário!$F$4:$F$2662))
+SUMPRODUCT(('Comp.'!$D$5:$D$402=$B66)*('Comp.'!$B$5:$B$402&gt;=I$4)*('Comp.'!$B$5:$B$402&lt;=EOMONTH(I$4,0))*('Comp.'!$E$5:$E$402))</f>
        <v>0</v>
      </c>
      <c r="J66" s="11">
        <f>SUMPRODUCT((Diário!$E$4:$E$2662='Analítico Cp.'!$B66)*(Diário!$C$4:$C$2662&gt;=J$4)*(Diário!$C$4:$C$2662&lt;=EOMONTH(J$4,0))*(Diário!$F$4:$F$2662))
+SUMPRODUCT(('Comp.'!$D$5:$D$402=$B66)*('Comp.'!$B$5:$B$402&gt;=J$4)*('Comp.'!$B$5:$B$402&lt;=EOMONTH(J$4,0))*('Comp.'!$E$5:$E$402))</f>
        <v>0</v>
      </c>
      <c r="K66" s="11">
        <f>SUMPRODUCT((Diário!$E$4:$E$2662='Analítico Cp.'!$B66)*(Diário!$C$4:$C$2662&gt;=K$4)*(Diário!$C$4:$C$2662&lt;=EOMONTH(K$4,0))*(Diário!$F$4:$F$2662))
+SUMPRODUCT(('Comp.'!$D$5:$D$402=$B66)*('Comp.'!$B$5:$B$402&gt;=K$4)*('Comp.'!$B$5:$B$402&lt;=EOMONTH(K$4,0))*('Comp.'!$E$5:$E$402))</f>
        <v>0</v>
      </c>
      <c r="L66" s="11">
        <f>SUMPRODUCT((Diário!$E$4:$E$2662='Analítico Cp.'!$B66)*(Diário!$C$4:$C$2662&gt;=L$4)*(Diário!$C$4:$C$2662&lt;=EOMONTH(L$4,0))*(Diário!$F$4:$F$2662))
+SUMPRODUCT(('Comp.'!$D$5:$D$402=$B66)*('Comp.'!$B$5:$B$402&gt;=L$4)*('Comp.'!$B$5:$B$402&lt;=EOMONTH(L$4,0))*('Comp.'!$E$5:$E$402))</f>
        <v>0</v>
      </c>
      <c r="M66" s="11">
        <f>SUMPRODUCT((Diário!$E$4:$E$2662='Analítico Cp.'!$B66)*(Diário!$C$4:$C$2662&gt;=M$4)*(Diário!$C$4:$C$2662&lt;=EOMONTH(M$4,0))*(Diário!$F$4:$F$2662))
+SUMPRODUCT(('Comp.'!$D$5:$D$402=$B66)*('Comp.'!$B$5:$B$402&gt;=M$4)*('Comp.'!$B$5:$B$402&lt;=EOMONTH(M$4,0))*('Comp.'!$E$5:$E$402))</f>
        <v>0</v>
      </c>
      <c r="N66" s="11">
        <f>SUMPRODUCT((Diário!$E$4:$E$2662='Analítico Cp.'!$B66)*(Diário!$C$4:$C$2662&gt;=N$4)*(Diário!$C$4:$C$2662&lt;=EOMONTH(N$4,0))*(Diário!$F$4:$F$2662))
+SUMPRODUCT(('Comp.'!$D$5:$D$402=$B66)*('Comp.'!$B$5:$B$402&gt;=N$4)*('Comp.'!$B$5:$B$402&lt;=EOMONTH(N$4,0))*('Comp.'!$E$5:$E$402))</f>
        <v>0</v>
      </c>
      <c r="O66" s="12">
        <f t="shared" si="14"/>
        <v>62952.820000000007</v>
      </c>
      <c r="P66" s="95">
        <f t="shared" si="13"/>
        <v>3.1527310669518097E-3</v>
      </c>
    </row>
    <row r="67" spans="1:16" ht="23.25" customHeight="1">
      <c r="A67" s="40" t="s">
        <v>109</v>
      </c>
      <c r="B67" s="59" t="s">
        <v>52</v>
      </c>
      <c r="C67" s="11">
        <f>SUMPRODUCT((Diário!$E$4:$E$2662='Analítico Cp.'!$B67)*(Diário!$C$4:$C$2662&gt;=C$4)*(Diário!$C$4:$C$2662&lt;=EOMONTH(C$4,0))*(Diário!$F$4:$F$2662))
+SUMPRODUCT(('Comp.'!$D$5:$D$402=$B67)*('Comp.'!$B$5:$B$402&gt;=C$4)*('Comp.'!$B$5:$B$402&lt;=EOMONTH(C$4,0))*('Comp.'!$E$5:$E$402))</f>
        <v>8500</v>
      </c>
      <c r="D67" s="11">
        <f>SUMPRODUCT((Diário!$E$4:$E$2662='Analítico Cp.'!$B67)*(Diário!$C$4:$C$2662&gt;=D$4)*(Diário!$C$4:$C$2662&lt;=EOMONTH(D$4,0))*(Diário!$F$4:$F$2662))
+SUMPRODUCT(('Comp.'!$D$5:$D$402=$B67)*('Comp.'!$B$5:$B$402&gt;=D$4)*('Comp.'!$B$5:$B$402&lt;=EOMONTH(D$4,0))*('Comp.'!$E$5:$E$402))</f>
        <v>8500</v>
      </c>
      <c r="E67" s="11">
        <f>SUMPRODUCT((Diário!$E$4:$E$2662='Analítico Cp.'!$B67)*(Diário!$C$4:$C$2662&gt;=E$4)*(Diário!$C$4:$C$2662&lt;=EOMONTH(E$4,0))*(Diário!$F$4:$F$2662))
+SUMPRODUCT(('Comp.'!$D$5:$D$402=$B67)*('Comp.'!$B$5:$B$402&gt;=E$4)*('Comp.'!$B$5:$B$402&lt;=EOMONTH(E$4,0))*('Comp.'!$E$5:$E$402))</f>
        <v>8500</v>
      </c>
      <c r="F67" s="11">
        <f>SUMPRODUCT((Diário!$E$4:$E$2662='Analítico Cp.'!$B67)*(Diário!$C$4:$C$2662&gt;=F$4)*(Diário!$C$4:$C$2662&lt;=EOMONTH(F$4,0))*(Diário!$F$4:$F$2662))
+SUMPRODUCT(('Comp.'!$D$5:$D$402=$B67)*('Comp.'!$B$5:$B$402&gt;=F$4)*('Comp.'!$B$5:$B$402&lt;=EOMONTH(F$4,0))*('Comp.'!$E$5:$E$402))</f>
        <v>8500</v>
      </c>
      <c r="G67" s="11">
        <f>SUMPRODUCT((Diário!$E$4:$E$2662='Analítico Cp.'!$B67)*(Diário!$C$4:$C$2662&gt;=G$4)*(Diário!$C$4:$C$2662&lt;=EOMONTH(G$4,0))*(Diário!$F$4:$F$2662))
+SUMPRODUCT(('Comp.'!$D$5:$D$402=$B67)*('Comp.'!$B$5:$B$402&gt;=G$4)*('Comp.'!$B$5:$B$402&lt;=EOMONTH(G$4,0))*('Comp.'!$E$5:$E$402))</f>
        <v>8500</v>
      </c>
      <c r="H67" s="11">
        <f>SUMPRODUCT((Diário!$E$4:$E$2662='Analítico Cp.'!$B67)*(Diário!$C$4:$C$2662&gt;=H$4)*(Diário!$C$4:$C$2662&lt;=EOMONTH(H$4,0))*(Diário!$F$4:$F$2662))
+SUMPRODUCT(('Comp.'!$D$5:$D$402=$B67)*('Comp.'!$B$5:$B$402&gt;=H$4)*('Comp.'!$B$5:$B$402&lt;=EOMONTH(H$4,0))*('Comp.'!$E$5:$E$402))</f>
        <v>8075</v>
      </c>
      <c r="I67" s="11">
        <f>SUMPRODUCT((Diário!$E$4:$E$2662='Analítico Cp.'!$B67)*(Diário!$C$4:$C$2662&gt;=I$4)*(Diário!$C$4:$C$2662&lt;=EOMONTH(I$4,0))*(Diário!$F$4:$F$2662))
+SUMPRODUCT(('Comp.'!$D$5:$D$402=$B67)*('Comp.'!$B$5:$B$402&gt;=I$4)*('Comp.'!$B$5:$B$402&lt;=EOMONTH(I$4,0))*('Comp.'!$E$5:$E$402))</f>
        <v>0</v>
      </c>
      <c r="J67" s="11">
        <f>SUMPRODUCT((Diário!$E$4:$E$2662='Analítico Cp.'!$B67)*(Diário!$C$4:$C$2662&gt;=J$4)*(Diário!$C$4:$C$2662&lt;=EOMONTH(J$4,0))*(Diário!$F$4:$F$2662))
+SUMPRODUCT(('Comp.'!$D$5:$D$402=$B67)*('Comp.'!$B$5:$B$402&gt;=J$4)*('Comp.'!$B$5:$B$402&lt;=EOMONTH(J$4,0))*('Comp.'!$E$5:$E$402))</f>
        <v>0</v>
      </c>
      <c r="K67" s="11">
        <f>SUMPRODUCT((Diário!$E$4:$E$2662='Analítico Cp.'!$B67)*(Diário!$C$4:$C$2662&gt;=K$4)*(Diário!$C$4:$C$2662&lt;=EOMONTH(K$4,0))*(Diário!$F$4:$F$2662))
+SUMPRODUCT(('Comp.'!$D$5:$D$402=$B67)*('Comp.'!$B$5:$B$402&gt;=K$4)*('Comp.'!$B$5:$B$402&lt;=EOMONTH(K$4,0))*('Comp.'!$E$5:$E$402))</f>
        <v>0</v>
      </c>
      <c r="L67" s="11">
        <f>SUMPRODUCT((Diário!$E$4:$E$2662='Analítico Cp.'!$B67)*(Diário!$C$4:$C$2662&gt;=L$4)*(Diário!$C$4:$C$2662&lt;=EOMONTH(L$4,0))*(Diário!$F$4:$F$2662))
+SUMPRODUCT(('Comp.'!$D$5:$D$402=$B67)*('Comp.'!$B$5:$B$402&gt;=L$4)*('Comp.'!$B$5:$B$402&lt;=EOMONTH(L$4,0))*('Comp.'!$E$5:$E$402))</f>
        <v>0</v>
      </c>
      <c r="M67" s="11">
        <f>SUMPRODUCT((Diário!$E$4:$E$2662='Analítico Cp.'!$B67)*(Diário!$C$4:$C$2662&gt;=M$4)*(Diário!$C$4:$C$2662&lt;=EOMONTH(M$4,0))*(Diário!$F$4:$F$2662))
+SUMPRODUCT(('Comp.'!$D$5:$D$402=$B67)*('Comp.'!$B$5:$B$402&gt;=M$4)*('Comp.'!$B$5:$B$402&lt;=EOMONTH(M$4,0))*('Comp.'!$E$5:$E$402))</f>
        <v>0</v>
      </c>
      <c r="N67" s="11">
        <f>SUMPRODUCT((Diário!$E$4:$E$2662='Analítico Cp.'!$B67)*(Diário!$C$4:$C$2662&gt;=N$4)*(Diário!$C$4:$C$2662&lt;=EOMONTH(N$4,0))*(Diário!$F$4:$F$2662))
+SUMPRODUCT(('Comp.'!$D$5:$D$402=$B67)*('Comp.'!$B$5:$B$402&gt;=N$4)*('Comp.'!$B$5:$B$402&lt;=EOMONTH(N$4,0))*('Comp.'!$E$5:$E$402))</f>
        <v>0</v>
      </c>
      <c r="O67" s="12">
        <f t="shared" si="14"/>
        <v>50575</v>
      </c>
      <c r="P67" s="95">
        <f t="shared" si="13"/>
        <v>2.5328392550339725E-3</v>
      </c>
    </row>
    <row r="68" spans="1:16" ht="23.25" customHeight="1">
      <c r="A68" s="40" t="s">
        <v>110</v>
      </c>
      <c r="B68" s="59" t="s">
        <v>9</v>
      </c>
      <c r="C68" s="11">
        <f>SUMPRODUCT((Diário!$E$4:$E$2662='Analítico Cp.'!$B68)*(Diário!$C$4:$C$2662&gt;=C$4)*(Diário!$C$4:$C$2662&lt;=EOMONTH(C$4,0))*(Diário!$F$4:$F$2662))
+SUMPRODUCT(('Comp.'!$D$5:$D$402=$B68)*('Comp.'!$B$5:$B$402&gt;=C$4)*('Comp.'!$B$5:$B$402&lt;=EOMONTH(C$4,0))*('Comp.'!$E$5:$E$402))</f>
        <v>7064.95</v>
      </c>
      <c r="D68" s="11">
        <f>SUMPRODUCT((Diário!$E$4:$E$2662='Analítico Cp.'!$B68)*(Diário!$C$4:$C$2662&gt;=D$4)*(Diário!$C$4:$C$2662&lt;=EOMONTH(D$4,0))*(Diário!$F$4:$F$2662))
+SUMPRODUCT(('Comp.'!$D$5:$D$402=$B68)*('Comp.'!$B$5:$B$402&gt;=D$4)*('Comp.'!$B$5:$B$402&lt;=EOMONTH(D$4,0))*('Comp.'!$E$5:$E$402))</f>
        <v>11484.49</v>
      </c>
      <c r="E68" s="11">
        <f>SUMPRODUCT((Diário!$E$4:$E$2662='Analítico Cp.'!$B68)*(Diário!$C$4:$C$2662&gt;=E$4)*(Diário!$C$4:$C$2662&lt;=EOMONTH(E$4,0))*(Diário!$F$4:$F$2662))
+SUMPRODUCT(('Comp.'!$D$5:$D$402=$B68)*('Comp.'!$B$5:$B$402&gt;=E$4)*('Comp.'!$B$5:$B$402&lt;=EOMONTH(E$4,0))*('Comp.'!$E$5:$E$402))</f>
        <v>11484.49</v>
      </c>
      <c r="F68" s="11">
        <f>SUMPRODUCT((Diário!$E$4:$E$2662='Analítico Cp.'!$B68)*(Diário!$C$4:$C$2662&gt;=F$4)*(Diário!$C$4:$C$2662&lt;=EOMONTH(F$4,0))*(Diário!$F$4:$F$2662))
+SUMPRODUCT(('Comp.'!$D$5:$D$402=$B68)*('Comp.'!$B$5:$B$402&gt;=F$4)*('Comp.'!$B$5:$B$402&lt;=EOMONTH(F$4,0))*('Comp.'!$E$5:$E$402))</f>
        <v>11542.43</v>
      </c>
      <c r="G68" s="11">
        <f>SUMPRODUCT((Diário!$E$4:$E$2662='Analítico Cp.'!$B68)*(Diário!$C$4:$C$2662&gt;=G$4)*(Diário!$C$4:$C$2662&lt;=EOMONTH(G$4,0))*(Diário!$F$4:$F$2662))
+SUMPRODUCT(('Comp.'!$D$5:$D$402=$B68)*('Comp.'!$B$5:$B$402&gt;=G$4)*('Comp.'!$B$5:$B$402&lt;=EOMONTH(G$4,0))*('Comp.'!$E$5:$E$402))</f>
        <v>11484.49</v>
      </c>
      <c r="H68" s="11">
        <f>SUMPRODUCT((Diário!$E$4:$E$2662='Analítico Cp.'!$B68)*(Diário!$C$4:$C$2662&gt;=H$4)*(Diário!$C$4:$C$2662&lt;=EOMONTH(H$4,0))*(Diário!$F$4:$F$2662))
+SUMPRODUCT(('Comp.'!$D$5:$D$402=$B68)*('Comp.'!$B$5:$B$402&gt;=H$4)*('Comp.'!$B$5:$B$402&lt;=EOMONTH(H$4,0))*('Comp.'!$E$5:$E$402))</f>
        <v>11580.91</v>
      </c>
      <c r="I68" s="11">
        <f>SUMPRODUCT((Diário!$E$4:$E$2662='Analítico Cp.'!$B68)*(Diário!$C$4:$C$2662&gt;=I$4)*(Diário!$C$4:$C$2662&lt;=EOMONTH(I$4,0))*(Diário!$F$4:$F$2662))
+SUMPRODUCT(('Comp.'!$D$5:$D$402=$B68)*('Comp.'!$B$5:$B$402&gt;=I$4)*('Comp.'!$B$5:$B$402&lt;=EOMONTH(I$4,0))*('Comp.'!$E$5:$E$402))</f>
        <v>0</v>
      </c>
      <c r="J68" s="11">
        <f>SUMPRODUCT((Diário!$E$4:$E$2662='Analítico Cp.'!$B68)*(Diário!$C$4:$C$2662&gt;=J$4)*(Diário!$C$4:$C$2662&lt;=EOMONTH(J$4,0))*(Diário!$F$4:$F$2662))
+SUMPRODUCT(('Comp.'!$D$5:$D$402=$B68)*('Comp.'!$B$5:$B$402&gt;=J$4)*('Comp.'!$B$5:$B$402&lt;=EOMONTH(J$4,0))*('Comp.'!$E$5:$E$402))</f>
        <v>0</v>
      </c>
      <c r="K68" s="11">
        <f>SUMPRODUCT((Diário!$E$4:$E$2662='Analítico Cp.'!$B68)*(Diário!$C$4:$C$2662&gt;=K$4)*(Diário!$C$4:$C$2662&lt;=EOMONTH(K$4,0))*(Diário!$F$4:$F$2662))
+SUMPRODUCT(('Comp.'!$D$5:$D$402=$B68)*('Comp.'!$B$5:$B$402&gt;=K$4)*('Comp.'!$B$5:$B$402&lt;=EOMONTH(K$4,0))*('Comp.'!$E$5:$E$402))</f>
        <v>0</v>
      </c>
      <c r="L68" s="11">
        <f>SUMPRODUCT((Diário!$E$4:$E$2662='Analítico Cp.'!$B68)*(Diário!$C$4:$C$2662&gt;=L$4)*(Diário!$C$4:$C$2662&lt;=EOMONTH(L$4,0))*(Diário!$F$4:$F$2662))
+SUMPRODUCT(('Comp.'!$D$5:$D$402=$B68)*('Comp.'!$B$5:$B$402&gt;=L$4)*('Comp.'!$B$5:$B$402&lt;=EOMONTH(L$4,0))*('Comp.'!$E$5:$E$402))</f>
        <v>0</v>
      </c>
      <c r="M68" s="11">
        <f>SUMPRODUCT((Diário!$E$4:$E$2662='Analítico Cp.'!$B68)*(Diário!$C$4:$C$2662&gt;=M$4)*(Diário!$C$4:$C$2662&lt;=EOMONTH(M$4,0))*(Diário!$F$4:$F$2662))
+SUMPRODUCT(('Comp.'!$D$5:$D$402=$B68)*('Comp.'!$B$5:$B$402&gt;=M$4)*('Comp.'!$B$5:$B$402&lt;=EOMONTH(M$4,0))*('Comp.'!$E$5:$E$402))</f>
        <v>0</v>
      </c>
      <c r="N68" s="11">
        <f>SUMPRODUCT((Diário!$E$4:$E$2662='Analítico Cp.'!$B68)*(Diário!$C$4:$C$2662&gt;=N$4)*(Diário!$C$4:$C$2662&lt;=EOMONTH(N$4,0))*(Diário!$F$4:$F$2662))
+SUMPRODUCT(('Comp.'!$D$5:$D$402=$B68)*('Comp.'!$B$5:$B$402&gt;=N$4)*('Comp.'!$B$5:$B$402&lt;=EOMONTH(N$4,0))*('Comp.'!$E$5:$E$402))</f>
        <v>0</v>
      </c>
      <c r="O68" s="12">
        <f t="shared" si="14"/>
        <v>64641.759999999995</v>
      </c>
      <c r="P68" s="95">
        <f t="shared" si="13"/>
        <v>3.2373146266432987E-3</v>
      </c>
    </row>
    <row r="69" spans="1:16" ht="23.25" customHeight="1">
      <c r="A69" s="40" t="s">
        <v>111</v>
      </c>
      <c r="B69" s="59" t="s">
        <v>288</v>
      </c>
      <c r="C69" s="11">
        <f>SUMPRODUCT((Diário!$E$4:$E$2662='Analítico Cp.'!$B69)*(Diário!$C$4:$C$2662&gt;=C$4)*(Diário!$C$4:$C$2662&lt;=EOMONTH(C$4,0))*(Diário!$F$4:$F$2662))
+SUMPRODUCT(('Comp.'!$D$5:$D$402=$B69)*('Comp.'!$B$5:$B$402&gt;=C$4)*('Comp.'!$B$5:$B$402&lt;=EOMONTH(C$4,0))*('Comp.'!$E$5:$E$402))</f>
        <v>2750</v>
      </c>
      <c r="D69" s="11">
        <f>SUMPRODUCT((Diário!$E$4:$E$2662='Analítico Cp.'!$B69)*(Diário!$C$4:$C$2662&gt;=D$4)*(Diário!$C$4:$C$2662&lt;=EOMONTH(D$4,0))*(Diário!$F$4:$F$2662))
+SUMPRODUCT(('Comp.'!$D$5:$D$402=$B69)*('Comp.'!$B$5:$B$402&gt;=D$4)*('Comp.'!$B$5:$B$402&lt;=EOMONTH(D$4,0))*('Comp.'!$E$5:$E$402))</f>
        <v>2750</v>
      </c>
      <c r="E69" s="11">
        <f>SUMPRODUCT((Diário!$E$4:$E$2662='Analítico Cp.'!$B69)*(Diário!$C$4:$C$2662&gt;=E$4)*(Diário!$C$4:$C$2662&lt;=EOMONTH(E$4,0))*(Diário!$F$4:$F$2662))
+SUMPRODUCT(('Comp.'!$D$5:$D$402=$B69)*('Comp.'!$B$5:$B$402&gt;=E$4)*('Comp.'!$B$5:$B$402&lt;=EOMONTH(E$4,0))*('Comp.'!$E$5:$E$402))</f>
        <v>2750</v>
      </c>
      <c r="F69" s="11">
        <f>SUMPRODUCT((Diário!$E$4:$E$2662='Analítico Cp.'!$B69)*(Diário!$C$4:$C$2662&gt;=F$4)*(Diário!$C$4:$C$2662&lt;=EOMONTH(F$4,0))*(Diário!$F$4:$F$2662))
+SUMPRODUCT(('Comp.'!$D$5:$D$402=$B69)*('Comp.'!$B$5:$B$402&gt;=F$4)*('Comp.'!$B$5:$B$402&lt;=EOMONTH(F$4,0))*('Comp.'!$E$5:$E$402))</f>
        <v>2750</v>
      </c>
      <c r="G69" s="11">
        <f>SUMPRODUCT((Diário!$E$4:$E$2662='Analítico Cp.'!$B69)*(Diário!$C$4:$C$2662&gt;=G$4)*(Diário!$C$4:$C$2662&lt;=EOMONTH(G$4,0))*(Diário!$F$4:$F$2662))
+SUMPRODUCT(('Comp.'!$D$5:$D$402=$B69)*('Comp.'!$B$5:$B$402&gt;=G$4)*('Comp.'!$B$5:$B$402&lt;=EOMONTH(G$4,0))*('Comp.'!$E$5:$E$402))</f>
        <v>0</v>
      </c>
      <c r="H69" s="11">
        <f>SUMPRODUCT((Diário!$E$4:$E$2662='Analítico Cp.'!$B69)*(Diário!$C$4:$C$2662&gt;=H$4)*(Diário!$C$4:$C$2662&lt;=EOMONTH(H$4,0))*(Diário!$F$4:$F$2662))
+SUMPRODUCT(('Comp.'!$D$5:$D$402=$B69)*('Comp.'!$B$5:$B$402&gt;=H$4)*('Comp.'!$B$5:$B$402&lt;=EOMONTH(H$4,0))*('Comp.'!$E$5:$E$402))</f>
        <v>0</v>
      </c>
      <c r="I69" s="11">
        <f>SUMPRODUCT((Diário!$E$4:$E$2662='Analítico Cp.'!$B69)*(Diário!$C$4:$C$2662&gt;=I$4)*(Diário!$C$4:$C$2662&lt;=EOMONTH(I$4,0))*(Diário!$F$4:$F$2662))
+SUMPRODUCT(('Comp.'!$D$5:$D$402=$B69)*('Comp.'!$B$5:$B$402&gt;=I$4)*('Comp.'!$B$5:$B$402&lt;=EOMONTH(I$4,0))*('Comp.'!$E$5:$E$402))</f>
        <v>0</v>
      </c>
      <c r="J69" s="11">
        <f>SUMPRODUCT((Diário!$E$4:$E$2662='Analítico Cp.'!$B69)*(Diário!$C$4:$C$2662&gt;=J$4)*(Diário!$C$4:$C$2662&lt;=EOMONTH(J$4,0))*(Diário!$F$4:$F$2662))
+SUMPRODUCT(('Comp.'!$D$5:$D$402=$B69)*('Comp.'!$B$5:$B$402&gt;=J$4)*('Comp.'!$B$5:$B$402&lt;=EOMONTH(J$4,0))*('Comp.'!$E$5:$E$402))</f>
        <v>0</v>
      </c>
      <c r="K69" s="11">
        <f>SUMPRODUCT((Diário!$E$4:$E$2662='Analítico Cp.'!$B69)*(Diário!$C$4:$C$2662&gt;=K$4)*(Diário!$C$4:$C$2662&lt;=EOMONTH(K$4,0))*(Diário!$F$4:$F$2662))
+SUMPRODUCT(('Comp.'!$D$5:$D$402=$B69)*('Comp.'!$B$5:$B$402&gt;=K$4)*('Comp.'!$B$5:$B$402&lt;=EOMONTH(K$4,0))*('Comp.'!$E$5:$E$402))</f>
        <v>0</v>
      </c>
      <c r="L69" s="11">
        <f>SUMPRODUCT((Diário!$E$4:$E$2662='Analítico Cp.'!$B69)*(Diário!$C$4:$C$2662&gt;=L$4)*(Diário!$C$4:$C$2662&lt;=EOMONTH(L$4,0))*(Diário!$F$4:$F$2662))
+SUMPRODUCT(('Comp.'!$D$5:$D$402=$B69)*('Comp.'!$B$5:$B$402&gt;=L$4)*('Comp.'!$B$5:$B$402&lt;=EOMONTH(L$4,0))*('Comp.'!$E$5:$E$402))</f>
        <v>0</v>
      </c>
      <c r="M69" s="11">
        <f>SUMPRODUCT((Diário!$E$4:$E$2662='Analítico Cp.'!$B69)*(Diário!$C$4:$C$2662&gt;=M$4)*(Diário!$C$4:$C$2662&lt;=EOMONTH(M$4,0))*(Diário!$F$4:$F$2662))
+SUMPRODUCT(('Comp.'!$D$5:$D$402=$B69)*('Comp.'!$B$5:$B$402&gt;=M$4)*('Comp.'!$B$5:$B$402&lt;=EOMONTH(M$4,0))*('Comp.'!$E$5:$E$402))</f>
        <v>0</v>
      </c>
      <c r="N69" s="11">
        <f>SUMPRODUCT((Diário!$E$4:$E$2662='Analítico Cp.'!$B69)*(Diário!$C$4:$C$2662&gt;=N$4)*(Diário!$C$4:$C$2662&lt;=EOMONTH(N$4,0))*(Diário!$F$4:$F$2662))
+SUMPRODUCT(('Comp.'!$D$5:$D$402=$B69)*('Comp.'!$B$5:$B$402&gt;=N$4)*('Comp.'!$B$5:$B$402&lt;=EOMONTH(N$4,0))*('Comp.'!$E$5:$E$402))</f>
        <v>0</v>
      </c>
      <c r="O69" s="12">
        <f t="shared" si="14"/>
        <v>11000</v>
      </c>
      <c r="P69" s="95">
        <f t="shared" si="13"/>
        <v>5.5088940791643494E-4</v>
      </c>
    </row>
    <row r="70" spans="1:16" ht="23.25" customHeight="1">
      <c r="A70" s="40" t="s">
        <v>112</v>
      </c>
      <c r="B70" s="59" t="s">
        <v>161</v>
      </c>
      <c r="C70" s="11">
        <f>SUMPRODUCT((Diário!$E$4:$E$2662='Analítico Cp.'!$B70)*(Diário!$C$4:$C$2662&gt;=C$4)*(Diário!$C$4:$C$2662&lt;=EOMONTH(C$4,0))*(Diário!$F$4:$F$2662))
+SUMPRODUCT(('Comp.'!$D$5:$D$402=$B70)*('Comp.'!$B$5:$B$402&gt;=C$4)*('Comp.'!$B$5:$B$402&lt;=EOMONTH(C$4,0))*('Comp.'!$E$5:$E$402))</f>
        <v>0</v>
      </c>
      <c r="D70" s="11">
        <f>SUMPRODUCT((Diário!$E$4:$E$2662='Analítico Cp.'!$B70)*(Diário!$C$4:$C$2662&gt;=D$4)*(Diário!$C$4:$C$2662&lt;=EOMONTH(D$4,0))*(Diário!$F$4:$F$2662))
+SUMPRODUCT(('Comp.'!$D$5:$D$402=$B70)*('Comp.'!$B$5:$B$402&gt;=D$4)*('Comp.'!$B$5:$B$402&lt;=EOMONTH(D$4,0))*('Comp.'!$E$5:$E$402))</f>
        <v>0</v>
      </c>
      <c r="E70" s="11">
        <f>SUMPRODUCT((Diário!$E$4:$E$2662='Analítico Cp.'!$B70)*(Diário!$C$4:$C$2662&gt;=E$4)*(Diário!$C$4:$C$2662&lt;=EOMONTH(E$4,0))*(Diário!$F$4:$F$2662))
+SUMPRODUCT(('Comp.'!$D$5:$D$402=$B70)*('Comp.'!$B$5:$B$402&gt;=E$4)*('Comp.'!$B$5:$B$402&lt;=EOMONTH(E$4,0))*('Comp.'!$E$5:$E$402))</f>
        <v>0</v>
      </c>
      <c r="F70" s="11">
        <f>SUMPRODUCT((Diário!$E$4:$E$2662='Analítico Cp.'!$B70)*(Diário!$C$4:$C$2662&gt;=F$4)*(Diário!$C$4:$C$2662&lt;=EOMONTH(F$4,0))*(Diário!$F$4:$F$2662))
+SUMPRODUCT(('Comp.'!$D$5:$D$402=$B70)*('Comp.'!$B$5:$B$402&gt;=F$4)*('Comp.'!$B$5:$B$402&lt;=EOMONTH(F$4,0))*('Comp.'!$E$5:$E$402))</f>
        <v>0</v>
      </c>
      <c r="G70" s="11">
        <f>SUMPRODUCT((Diário!$E$4:$E$2662='Analítico Cp.'!$B70)*(Diário!$C$4:$C$2662&gt;=G$4)*(Diário!$C$4:$C$2662&lt;=EOMONTH(G$4,0))*(Diário!$F$4:$F$2662))
+SUMPRODUCT(('Comp.'!$D$5:$D$402=$B70)*('Comp.'!$B$5:$B$402&gt;=G$4)*('Comp.'!$B$5:$B$402&lt;=EOMONTH(G$4,0))*('Comp.'!$E$5:$E$402))</f>
        <v>0</v>
      </c>
      <c r="H70" s="11">
        <f>SUMPRODUCT((Diário!$E$4:$E$2662='Analítico Cp.'!$B70)*(Diário!$C$4:$C$2662&gt;=H$4)*(Diário!$C$4:$C$2662&lt;=EOMONTH(H$4,0))*(Diário!$F$4:$F$2662))
+SUMPRODUCT(('Comp.'!$D$5:$D$402=$B70)*('Comp.'!$B$5:$B$402&gt;=H$4)*('Comp.'!$B$5:$B$402&lt;=EOMONTH(H$4,0))*('Comp.'!$E$5:$E$402))</f>
        <v>0</v>
      </c>
      <c r="I70" s="11">
        <f>SUMPRODUCT((Diário!$E$4:$E$2662='Analítico Cp.'!$B70)*(Diário!$C$4:$C$2662&gt;=I$4)*(Diário!$C$4:$C$2662&lt;=EOMONTH(I$4,0))*(Diário!$F$4:$F$2662))
+SUMPRODUCT(('Comp.'!$D$5:$D$402=$B70)*('Comp.'!$B$5:$B$402&gt;=I$4)*('Comp.'!$B$5:$B$402&lt;=EOMONTH(I$4,0))*('Comp.'!$E$5:$E$402))</f>
        <v>0</v>
      </c>
      <c r="J70" s="11">
        <f>SUMPRODUCT((Diário!$E$4:$E$2662='Analítico Cp.'!$B70)*(Diário!$C$4:$C$2662&gt;=J$4)*(Diário!$C$4:$C$2662&lt;=EOMONTH(J$4,0))*(Diário!$F$4:$F$2662))
+SUMPRODUCT(('Comp.'!$D$5:$D$402=$B70)*('Comp.'!$B$5:$B$402&gt;=J$4)*('Comp.'!$B$5:$B$402&lt;=EOMONTH(J$4,0))*('Comp.'!$E$5:$E$402))</f>
        <v>0</v>
      </c>
      <c r="K70" s="11">
        <f>SUMPRODUCT((Diário!$E$4:$E$2662='Analítico Cp.'!$B70)*(Diário!$C$4:$C$2662&gt;=K$4)*(Diário!$C$4:$C$2662&lt;=EOMONTH(K$4,0))*(Diário!$F$4:$F$2662))
+SUMPRODUCT(('Comp.'!$D$5:$D$402=$B70)*('Comp.'!$B$5:$B$402&gt;=K$4)*('Comp.'!$B$5:$B$402&lt;=EOMONTH(K$4,0))*('Comp.'!$E$5:$E$402))</f>
        <v>0</v>
      </c>
      <c r="L70" s="11">
        <f>SUMPRODUCT((Diário!$E$4:$E$2662='Analítico Cp.'!$B70)*(Diário!$C$4:$C$2662&gt;=L$4)*(Diário!$C$4:$C$2662&lt;=EOMONTH(L$4,0))*(Diário!$F$4:$F$2662))
+SUMPRODUCT(('Comp.'!$D$5:$D$402=$B70)*('Comp.'!$B$5:$B$402&gt;=L$4)*('Comp.'!$B$5:$B$402&lt;=EOMONTH(L$4,0))*('Comp.'!$E$5:$E$402))</f>
        <v>0</v>
      </c>
      <c r="M70" s="11">
        <f>SUMPRODUCT((Diário!$E$4:$E$2662='Analítico Cp.'!$B70)*(Diário!$C$4:$C$2662&gt;=M$4)*(Diário!$C$4:$C$2662&lt;=EOMONTH(M$4,0))*(Diário!$F$4:$F$2662))
+SUMPRODUCT(('Comp.'!$D$5:$D$402=$B70)*('Comp.'!$B$5:$B$402&gt;=M$4)*('Comp.'!$B$5:$B$402&lt;=EOMONTH(M$4,0))*('Comp.'!$E$5:$E$402))</f>
        <v>0</v>
      </c>
      <c r="N70" s="11">
        <f>SUMPRODUCT((Diário!$E$4:$E$2662='Analítico Cp.'!$B70)*(Diário!$C$4:$C$2662&gt;=N$4)*(Diário!$C$4:$C$2662&lt;=EOMONTH(N$4,0))*(Diário!$F$4:$F$2662))
+SUMPRODUCT(('Comp.'!$D$5:$D$402=$B70)*('Comp.'!$B$5:$B$402&gt;=N$4)*('Comp.'!$B$5:$B$402&lt;=EOMONTH(N$4,0))*('Comp.'!$E$5:$E$402))</f>
        <v>0</v>
      </c>
      <c r="O70" s="12">
        <f t="shared" si="14"/>
        <v>0</v>
      </c>
      <c r="P70" s="95">
        <f t="shared" si="13"/>
        <v>0</v>
      </c>
    </row>
    <row r="71" spans="1:16" ht="23.25" customHeight="1">
      <c r="A71" s="40" t="s">
        <v>113</v>
      </c>
      <c r="B71" s="59" t="s">
        <v>168</v>
      </c>
      <c r="C71" s="11">
        <f>SUMPRODUCT((Diário!$E$4:$E$2662='Analítico Cp.'!$B71)*(Diário!$C$4:$C$2662&gt;=C$4)*(Diário!$C$4:$C$2662&lt;=EOMONTH(C$4,0))*(Diário!$F$4:$F$2662))
+SUMPRODUCT(('Comp.'!$D$5:$D$402=$B71)*('Comp.'!$B$5:$B$402&gt;=C$4)*('Comp.'!$B$5:$B$402&lt;=EOMONTH(C$4,0))*('Comp.'!$E$5:$E$402))</f>
        <v>0</v>
      </c>
      <c r="D71" s="11">
        <f>SUMPRODUCT((Diário!$E$4:$E$2662='Analítico Cp.'!$B71)*(Diário!$C$4:$C$2662&gt;=D$4)*(Diário!$C$4:$C$2662&lt;=EOMONTH(D$4,0))*(Diário!$F$4:$F$2662))
+SUMPRODUCT(('Comp.'!$D$5:$D$402=$B71)*('Comp.'!$B$5:$B$402&gt;=D$4)*('Comp.'!$B$5:$B$402&lt;=EOMONTH(D$4,0))*('Comp.'!$E$5:$E$402))</f>
        <v>0</v>
      </c>
      <c r="E71" s="11">
        <f>SUMPRODUCT((Diário!$E$4:$E$2662='Analítico Cp.'!$B71)*(Diário!$C$4:$C$2662&gt;=E$4)*(Diário!$C$4:$C$2662&lt;=EOMONTH(E$4,0))*(Diário!$F$4:$F$2662))
+SUMPRODUCT(('Comp.'!$D$5:$D$402=$B71)*('Comp.'!$B$5:$B$402&gt;=E$4)*('Comp.'!$B$5:$B$402&lt;=EOMONTH(E$4,0))*('Comp.'!$E$5:$E$402))</f>
        <v>0</v>
      </c>
      <c r="F71" s="11">
        <f>SUMPRODUCT((Diário!$E$4:$E$2662='Analítico Cp.'!$B71)*(Diário!$C$4:$C$2662&gt;=F$4)*(Diário!$C$4:$C$2662&lt;=EOMONTH(F$4,0))*(Diário!$F$4:$F$2662))
+SUMPRODUCT(('Comp.'!$D$5:$D$402=$B71)*('Comp.'!$B$5:$B$402&gt;=F$4)*('Comp.'!$B$5:$B$402&lt;=EOMONTH(F$4,0))*('Comp.'!$E$5:$E$402))</f>
        <v>0</v>
      </c>
      <c r="G71" s="11">
        <f>SUMPRODUCT((Diário!$E$4:$E$2662='Analítico Cp.'!$B71)*(Diário!$C$4:$C$2662&gt;=G$4)*(Diário!$C$4:$C$2662&lt;=EOMONTH(G$4,0))*(Diário!$F$4:$F$2662))
+SUMPRODUCT(('Comp.'!$D$5:$D$402=$B71)*('Comp.'!$B$5:$B$402&gt;=G$4)*('Comp.'!$B$5:$B$402&lt;=EOMONTH(G$4,0))*('Comp.'!$E$5:$E$402))</f>
        <v>0</v>
      </c>
      <c r="H71" s="11">
        <f>SUMPRODUCT((Diário!$E$4:$E$2662='Analítico Cp.'!$B71)*(Diário!$C$4:$C$2662&gt;=H$4)*(Diário!$C$4:$C$2662&lt;=EOMONTH(H$4,0))*(Diário!$F$4:$F$2662))
+SUMPRODUCT(('Comp.'!$D$5:$D$402=$B71)*('Comp.'!$B$5:$B$402&gt;=H$4)*('Comp.'!$B$5:$B$402&lt;=EOMONTH(H$4,0))*('Comp.'!$E$5:$E$402))</f>
        <v>0</v>
      </c>
      <c r="I71" s="11">
        <f>SUMPRODUCT((Diário!$E$4:$E$2662='Analítico Cp.'!$B71)*(Diário!$C$4:$C$2662&gt;=I$4)*(Diário!$C$4:$C$2662&lt;=EOMONTH(I$4,0))*(Diário!$F$4:$F$2662))
+SUMPRODUCT(('Comp.'!$D$5:$D$402=$B71)*('Comp.'!$B$5:$B$402&gt;=I$4)*('Comp.'!$B$5:$B$402&lt;=EOMONTH(I$4,0))*('Comp.'!$E$5:$E$402))</f>
        <v>0</v>
      </c>
      <c r="J71" s="11">
        <f>SUMPRODUCT((Diário!$E$4:$E$2662='Analítico Cp.'!$B71)*(Diário!$C$4:$C$2662&gt;=J$4)*(Diário!$C$4:$C$2662&lt;=EOMONTH(J$4,0))*(Diário!$F$4:$F$2662))
+SUMPRODUCT(('Comp.'!$D$5:$D$402=$B71)*('Comp.'!$B$5:$B$402&gt;=J$4)*('Comp.'!$B$5:$B$402&lt;=EOMONTH(J$4,0))*('Comp.'!$E$5:$E$402))</f>
        <v>0</v>
      </c>
      <c r="K71" s="11">
        <f>SUMPRODUCT((Diário!$E$4:$E$2662='Analítico Cp.'!$B71)*(Diário!$C$4:$C$2662&gt;=K$4)*(Diário!$C$4:$C$2662&lt;=EOMONTH(K$4,0))*(Diário!$F$4:$F$2662))
+SUMPRODUCT(('Comp.'!$D$5:$D$402=$B71)*('Comp.'!$B$5:$B$402&gt;=K$4)*('Comp.'!$B$5:$B$402&lt;=EOMONTH(K$4,0))*('Comp.'!$E$5:$E$402))</f>
        <v>0</v>
      </c>
      <c r="L71" s="11">
        <f>SUMPRODUCT((Diário!$E$4:$E$2662='Analítico Cp.'!$B71)*(Diário!$C$4:$C$2662&gt;=L$4)*(Diário!$C$4:$C$2662&lt;=EOMONTH(L$4,0))*(Diário!$F$4:$F$2662))
+SUMPRODUCT(('Comp.'!$D$5:$D$402=$B71)*('Comp.'!$B$5:$B$402&gt;=L$4)*('Comp.'!$B$5:$B$402&lt;=EOMONTH(L$4,0))*('Comp.'!$E$5:$E$402))</f>
        <v>0</v>
      </c>
      <c r="M71" s="11">
        <f>SUMPRODUCT((Diário!$E$4:$E$2662='Analítico Cp.'!$B71)*(Diário!$C$4:$C$2662&gt;=M$4)*(Diário!$C$4:$C$2662&lt;=EOMONTH(M$4,0))*(Diário!$F$4:$F$2662))
+SUMPRODUCT(('Comp.'!$D$5:$D$402=$B71)*('Comp.'!$B$5:$B$402&gt;=M$4)*('Comp.'!$B$5:$B$402&lt;=EOMONTH(M$4,0))*('Comp.'!$E$5:$E$402))</f>
        <v>0</v>
      </c>
      <c r="N71" s="11">
        <f>SUMPRODUCT((Diário!$E$4:$E$2662='Analítico Cp.'!$B71)*(Diário!$C$4:$C$2662&gt;=N$4)*(Diário!$C$4:$C$2662&lt;=EOMONTH(N$4,0))*(Diário!$F$4:$F$2662))
+SUMPRODUCT(('Comp.'!$D$5:$D$402=$B71)*('Comp.'!$B$5:$B$402&gt;=N$4)*('Comp.'!$B$5:$B$402&lt;=EOMONTH(N$4,0))*('Comp.'!$E$5:$E$402))</f>
        <v>0</v>
      </c>
      <c r="O71" s="12">
        <f t="shared" si="14"/>
        <v>0</v>
      </c>
      <c r="P71" s="95">
        <f t="shared" si="13"/>
        <v>0</v>
      </c>
    </row>
    <row r="72" spans="1:16" ht="23.25" customHeight="1">
      <c r="A72" s="40" t="s">
        <v>114</v>
      </c>
      <c r="B72" s="61" t="s">
        <v>206</v>
      </c>
      <c r="C72" s="11">
        <f>SUMPRODUCT((Diário!$E$4:$E$2662='Analítico Cp.'!$B72)*(Diário!$C$4:$C$2662&gt;=C$4)*(Diário!$C$4:$C$2662&lt;=EOMONTH(C$4,0))*(Diário!$F$4:$F$2662))
+SUMPRODUCT(('Comp.'!$D$5:$D$402=$B72)*('Comp.'!$B$5:$B$402&gt;=C$4)*('Comp.'!$B$5:$B$402&lt;=EOMONTH(C$4,0))*('Comp.'!$E$5:$E$402))</f>
        <v>0</v>
      </c>
      <c r="D72" s="11">
        <f>SUMPRODUCT((Diário!$E$4:$E$2662='Analítico Cp.'!$B72)*(Diário!$C$4:$C$2662&gt;=D$4)*(Diário!$C$4:$C$2662&lt;=EOMONTH(D$4,0))*(Diário!$F$4:$F$2662))
+SUMPRODUCT(('Comp.'!$D$5:$D$402=$B72)*('Comp.'!$B$5:$B$402&gt;=D$4)*('Comp.'!$B$5:$B$402&lt;=EOMONTH(D$4,0))*('Comp.'!$E$5:$E$402))</f>
        <v>0</v>
      </c>
      <c r="E72" s="11">
        <f>SUMPRODUCT((Diário!$E$4:$E$2662='Analítico Cp.'!$B72)*(Diário!$C$4:$C$2662&gt;=E$4)*(Diário!$C$4:$C$2662&lt;=EOMONTH(E$4,0))*(Diário!$F$4:$F$2662))
+SUMPRODUCT(('Comp.'!$D$5:$D$402=$B72)*('Comp.'!$B$5:$B$402&gt;=E$4)*('Comp.'!$B$5:$B$402&lt;=EOMONTH(E$4,0))*('Comp.'!$E$5:$E$402))</f>
        <v>0</v>
      </c>
      <c r="F72" s="11">
        <f>SUMPRODUCT((Diário!$E$4:$E$2662='Analítico Cp.'!$B72)*(Diário!$C$4:$C$2662&gt;=F$4)*(Diário!$C$4:$C$2662&lt;=EOMONTH(F$4,0))*(Diário!$F$4:$F$2662))
+SUMPRODUCT(('Comp.'!$D$5:$D$402=$B72)*('Comp.'!$B$5:$B$402&gt;=F$4)*('Comp.'!$B$5:$B$402&lt;=EOMONTH(F$4,0))*('Comp.'!$E$5:$E$402))</f>
        <v>0</v>
      </c>
      <c r="G72" s="11">
        <f>SUMPRODUCT((Diário!$E$4:$E$2662='Analítico Cp.'!$B72)*(Diário!$C$4:$C$2662&gt;=G$4)*(Diário!$C$4:$C$2662&lt;=EOMONTH(G$4,0))*(Diário!$F$4:$F$2662))
+SUMPRODUCT(('Comp.'!$D$5:$D$402=$B72)*('Comp.'!$B$5:$B$402&gt;=G$4)*('Comp.'!$B$5:$B$402&lt;=EOMONTH(G$4,0))*('Comp.'!$E$5:$E$402))</f>
        <v>0</v>
      </c>
      <c r="H72" s="11">
        <f>SUMPRODUCT((Diário!$E$4:$E$2662='Analítico Cp.'!$B72)*(Diário!$C$4:$C$2662&gt;=H$4)*(Diário!$C$4:$C$2662&lt;=EOMONTH(H$4,0))*(Diário!$F$4:$F$2662))
+SUMPRODUCT(('Comp.'!$D$5:$D$402=$B72)*('Comp.'!$B$5:$B$402&gt;=H$4)*('Comp.'!$B$5:$B$402&lt;=EOMONTH(H$4,0))*('Comp.'!$E$5:$E$402))</f>
        <v>0</v>
      </c>
      <c r="I72" s="11">
        <f>SUMPRODUCT((Diário!$E$4:$E$2662='Analítico Cp.'!$B72)*(Diário!$C$4:$C$2662&gt;=I$4)*(Diário!$C$4:$C$2662&lt;=EOMONTH(I$4,0))*(Diário!$F$4:$F$2662))
+SUMPRODUCT(('Comp.'!$D$5:$D$402=$B72)*('Comp.'!$B$5:$B$402&gt;=I$4)*('Comp.'!$B$5:$B$402&lt;=EOMONTH(I$4,0))*('Comp.'!$E$5:$E$402))</f>
        <v>0</v>
      </c>
      <c r="J72" s="11">
        <f>SUMPRODUCT((Diário!$E$4:$E$2662='Analítico Cp.'!$B72)*(Diário!$C$4:$C$2662&gt;=J$4)*(Diário!$C$4:$C$2662&lt;=EOMONTH(J$4,0))*(Diário!$F$4:$F$2662))
+SUMPRODUCT(('Comp.'!$D$5:$D$402=$B72)*('Comp.'!$B$5:$B$402&gt;=J$4)*('Comp.'!$B$5:$B$402&lt;=EOMONTH(J$4,0))*('Comp.'!$E$5:$E$402))</f>
        <v>0</v>
      </c>
      <c r="K72" s="11">
        <f>SUMPRODUCT((Diário!$E$4:$E$2662='Analítico Cp.'!$B72)*(Diário!$C$4:$C$2662&gt;=K$4)*(Diário!$C$4:$C$2662&lt;=EOMONTH(K$4,0))*(Diário!$F$4:$F$2662))
+SUMPRODUCT(('Comp.'!$D$5:$D$402=$B72)*('Comp.'!$B$5:$B$402&gt;=K$4)*('Comp.'!$B$5:$B$402&lt;=EOMONTH(K$4,0))*('Comp.'!$E$5:$E$402))</f>
        <v>0</v>
      </c>
      <c r="L72" s="11">
        <f>SUMPRODUCT((Diário!$E$4:$E$2662='Analítico Cp.'!$B72)*(Diário!$C$4:$C$2662&gt;=L$4)*(Diário!$C$4:$C$2662&lt;=EOMONTH(L$4,0))*(Diário!$F$4:$F$2662))
+SUMPRODUCT(('Comp.'!$D$5:$D$402=$B72)*('Comp.'!$B$5:$B$402&gt;=L$4)*('Comp.'!$B$5:$B$402&lt;=EOMONTH(L$4,0))*('Comp.'!$E$5:$E$402))</f>
        <v>0</v>
      </c>
      <c r="M72" s="11">
        <f>SUMPRODUCT((Diário!$E$4:$E$2662='Analítico Cp.'!$B72)*(Diário!$C$4:$C$2662&gt;=M$4)*(Diário!$C$4:$C$2662&lt;=EOMONTH(M$4,0))*(Diário!$F$4:$F$2662))
+SUMPRODUCT(('Comp.'!$D$5:$D$402=$B72)*('Comp.'!$B$5:$B$402&gt;=M$4)*('Comp.'!$B$5:$B$402&lt;=EOMONTH(M$4,0))*('Comp.'!$E$5:$E$402))</f>
        <v>0</v>
      </c>
      <c r="N72" s="11">
        <f>SUMPRODUCT((Diário!$E$4:$E$2662='Analítico Cp.'!$B72)*(Diário!$C$4:$C$2662&gt;=N$4)*(Diário!$C$4:$C$2662&lt;=EOMONTH(N$4,0))*(Diário!$F$4:$F$2662))
+SUMPRODUCT(('Comp.'!$D$5:$D$402=$B72)*('Comp.'!$B$5:$B$402&gt;=N$4)*('Comp.'!$B$5:$B$402&lt;=EOMONTH(N$4,0))*('Comp.'!$E$5:$E$402))</f>
        <v>0</v>
      </c>
      <c r="O72" s="12">
        <f t="shared" si="14"/>
        <v>0</v>
      </c>
      <c r="P72" s="95">
        <f t="shared" si="13"/>
        <v>0</v>
      </c>
    </row>
    <row r="73" spans="1:16" ht="23.25" customHeight="1">
      <c r="A73" s="40" t="s">
        <v>115</v>
      </c>
      <c r="B73" s="59" t="s">
        <v>59</v>
      </c>
      <c r="C73" s="11">
        <f>SUMPRODUCT((Diário!$E$4:$E$2662='Analítico Cp.'!$B73)*(Diário!$C$4:$C$2662&gt;=C$4)*(Diário!$C$4:$C$2662&lt;=EOMONTH(C$4,0))*(Diário!$F$4:$F$2662))
+SUMPRODUCT(('Comp.'!$D$5:$D$402=$B73)*('Comp.'!$B$5:$B$402&gt;=C$4)*('Comp.'!$B$5:$B$402&lt;=EOMONTH(C$4,0))*('Comp.'!$E$5:$E$402))</f>
        <v>0</v>
      </c>
      <c r="D73" s="11">
        <f>SUMPRODUCT((Diário!$E$4:$E$2662='Analítico Cp.'!$B73)*(Diário!$C$4:$C$2662&gt;=D$4)*(Diário!$C$4:$C$2662&lt;=EOMONTH(D$4,0))*(Diário!$F$4:$F$2662))
+SUMPRODUCT(('Comp.'!$D$5:$D$402=$B73)*('Comp.'!$B$5:$B$402&gt;=D$4)*('Comp.'!$B$5:$B$402&lt;=EOMONTH(D$4,0))*('Comp.'!$E$5:$E$402))</f>
        <v>0</v>
      </c>
      <c r="E73" s="11">
        <f>SUMPRODUCT((Diário!$E$4:$E$2662='Analítico Cp.'!$B73)*(Diário!$C$4:$C$2662&gt;=E$4)*(Diário!$C$4:$C$2662&lt;=EOMONTH(E$4,0))*(Diário!$F$4:$F$2662))
+SUMPRODUCT(('Comp.'!$D$5:$D$402=$B73)*('Comp.'!$B$5:$B$402&gt;=E$4)*('Comp.'!$B$5:$B$402&lt;=EOMONTH(E$4,0))*('Comp.'!$E$5:$E$402))</f>
        <v>0</v>
      </c>
      <c r="F73" s="11">
        <f>SUMPRODUCT((Diário!$E$4:$E$2662='Analítico Cp.'!$B73)*(Diário!$C$4:$C$2662&gt;=F$4)*(Diário!$C$4:$C$2662&lt;=EOMONTH(F$4,0))*(Diário!$F$4:$F$2662))
+SUMPRODUCT(('Comp.'!$D$5:$D$402=$B73)*('Comp.'!$B$5:$B$402&gt;=F$4)*('Comp.'!$B$5:$B$402&lt;=EOMONTH(F$4,0))*('Comp.'!$E$5:$E$402))</f>
        <v>0</v>
      </c>
      <c r="G73" s="11">
        <f>SUMPRODUCT((Diário!$E$4:$E$2662='Analítico Cp.'!$B73)*(Diário!$C$4:$C$2662&gt;=G$4)*(Diário!$C$4:$C$2662&lt;=EOMONTH(G$4,0))*(Diário!$F$4:$F$2662))
+SUMPRODUCT(('Comp.'!$D$5:$D$402=$B73)*('Comp.'!$B$5:$B$402&gt;=G$4)*('Comp.'!$B$5:$B$402&lt;=EOMONTH(G$4,0))*('Comp.'!$E$5:$E$402))</f>
        <v>0</v>
      </c>
      <c r="H73" s="11">
        <f>SUMPRODUCT((Diário!$E$4:$E$2662='Analítico Cp.'!$B73)*(Diário!$C$4:$C$2662&gt;=H$4)*(Diário!$C$4:$C$2662&lt;=EOMONTH(H$4,0))*(Diário!$F$4:$F$2662))
+SUMPRODUCT(('Comp.'!$D$5:$D$402=$B73)*('Comp.'!$B$5:$B$402&gt;=H$4)*('Comp.'!$B$5:$B$402&lt;=EOMONTH(H$4,0))*('Comp.'!$E$5:$E$402))</f>
        <v>0</v>
      </c>
      <c r="I73" s="11">
        <f>SUMPRODUCT((Diário!$E$4:$E$2662='Analítico Cp.'!$B73)*(Diário!$C$4:$C$2662&gt;=I$4)*(Diário!$C$4:$C$2662&lt;=EOMONTH(I$4,0))*(Diário!$F$4:$F$2662))
+SUMPRODUCT(('Comp.'!$D$5:$D$402=$B73)*('Comp.'!$B$5:$B$402&gt;=I$4)*('Comp.'!$B$5:$B$402&lt;=EOMONTH(I$4,0))*('Comp.'!$E$5:$E$402))</f>
        <v>0</v>
      </c>
      <c r="J73" s="11">
        <f>SUMPRODUCT((Diário!$E$4:$E$2662='Analítico Cp.'!$B73)*(Diário!$C$4:$C$2662&gt;=J$4)*(Diário!$C$4:$C$2662&lt;=EOMONTH(J$4,0))*(Diário!$F$4:$F$2662))
+SUMPRODUCT(('Comp.'!$D$5:$D$402=$B73)*('Comp.'!$B$5:$B$402&gt;=J$4)*('Comp.'!$B$5:$B$402&lt;=EOMONTH(J$4,0))*('Comp.'!$E$5:$E$402))</f>
        <v>0</v>
      </c>
      <c r="K73" s="11">
        <f>SUMPRODUCT((Diário!$E$4:$E$2662='Analítico Cp.'!$B73)*(Diário!$C$4:$C$2662&gt;=K$4)*(Diário!$C$4:$C$2662&lt;=EOMONTH(K$4,0))*(Diário!$F$4:$F$2662))
+SUMPRODUCT(('Comp.'!$D$5:$D$402=$B73)*('Comp.'!$B$5:$B$402&gt;=K$4)*('Comp.'!$B$5:$B$402&lt;=EOMONTH(K$4,0))*('Comp.'!$E$5:$E$402))</f>
        <v>0</v>
      </c>
      <c r="L73" s="11">
        <f>SUMPRODUCT((Diário!$E$4:$E$2662='Analítico Cp.'!$B73)*(Diário!$C$4:$C$2662&gt;=L$4)*(Diário!$C$4:$C$2662&lt;=EOMONTH(L$4,0))*(Diário!$F$4:$F$2662))
+SUMPRODUCT(('Comp.'!$D$5:$D$402=$B73)*('Comp.'!$B$5:$B$402&gt;=L$4)*('Comp.'!$B$5:$B$402&lt;=EOMONTH(L$4,0))*('Comp.'!$E$5:$E$402))</f>
        <v>0</v>
      </c>
      <c r="M73" s="11">
        <f>SUMPRODUCT((Diário!$E$4:$E$2662='Analítico Cp.'!$B73)*(Diário!$C$4:$C$2662&gt;=M$4)*(Diário!$C$4:$C$2662&lt;=EOMONTH(M$4,0))*(Diário!$F$4:$F$2662))
+SUMPRODUCT(('Comp.'!$D$5:$D$402=$B73)*('Comp.'!$B$5:$B$402&gt;=M$4)*('Comp.'!$B$5:$B$402&lt;=EOMONTH(M$4,0))*('Comp.'!$E$5:$E$402))</f>
        <v>0</v>
      </c>
      <c r="N73" s="11">
        <f>SUMPRODUCT((Diário!$E$4:$E$2662='Analítico Cp.'!$B73)*(Diário!$C$4:$C$2662&gt;=N$4)*(Diário!$C$4:$C$2662&lt;=EOMONTH(N$4,0))*(Diário!$F$4:$F$2662))
+SUMPRODUCT(('Comp.'!$D$5:$D$402=$B73)*('Comp.'!$B$5:$B$402&gt;=N$4)*('Comp.'!$B$5:$B$402&lt;=EOMONTH(N$4,0))*('Comp.'!$E$5:$E$402))</f>
        <v>0</v>
      </c>
      <c r="O73" s="12">
        <f t="shared" si="14"/>
        <v>0</v>
      </c>
      <c r="P73" s="95">
        <f t="shared" si="13"/>
        <v>0</v>
      </c>
    </row>
    <row r="74" spans="1:16" ht="23.25" customHeight="1">
      <c r="A74" s="40" t="s">
        <v>116</v>
      </c>
      <c r="B74" s="59" t="s">
        <v>169</v>
      </c>
      <c r="C74" s="11">
        <f>SUMPRODUCT((Diário!$E$4:$E$2662='Analítico Cp.'!$B74)*(Diário!$C$4:$C$2662&gt;=C$4)*(Diário!$C$4:$C$2662&lt;=EOMONTH(C$4,0))*(Diário!$F$4:$F$2662))
+SUMPRODUCT(('Comp.'!$D$5:$D$402=$B74)*('Comp.'!$B$5:$B$402&gt;=C$4)*('Comp.'!$B$5:$B$402&lt;=EOMONTH(C$4,0))*('Comp.'!$E$5:$E$402))</f>
        <v>9049.3399999999983</v>
      </c>
      <c r="D74" s="11">
        <f>SUMPRODUCT((Diário!$E$4:$E$2662='Analítico Cp.'!$B74)*(Diário!$C$4:$C$2662&gt;=D$4)*(Diário!$C$4:$C$2662&lt;=EOMONTH(D$4,0))*(Diário!$F$4:$F$2662))
+SUMPRODUCT(('Comp.'!$D$5:$D$402=$B74)*('Comp.'!$B$5:$B$402&gt;=D$4)*('Comp.'!$B$5:$B$402&lt;=EOMONTH(D$4,0))*('Comp.'!$E$5:$E$402))</f>
        <v>0</v>
      </c>
      <c r="E74" s="11">
        <f>SUMPRODUCT((Diário!$E$4:$E$2662='Analítico Cp.'!$B74)*(Diário!$C$4:$C$2662&gt;=E$4)*(Diário!$C$4:$C$2662&lt;=EOMONTH(E$4,0))*(Diário!$F$4:$F$2662))
+SUMPRODUCT(('Comp.'!$D$5:$D$402=$B74)*('Comp.'!$B$5:$B$402&gt;=E$4)*('Comp.'!$B$5:$B$402&lt;=EOMONTH(E$4,0))*('Comp.'!$E$5:$E$402))</f>
        <v>0</v>
      </c>
      <c r="F74" s="11">
        <f>SUMPRODUCT((Diário!$E$4:$E$2662='Analítico Cp.'!$B74)*(Diário!$C$4:$C$2662&gt;=F$4)*(Diário!$C$4:$C$2662&lt;=EOMONTH(F$4,0))*(Diário!$F$4:$F$2662))
+SUMPRODUCT(('Comp.'!$D$5:$D$402=$B74)*('Comp.'!$B$5:$B$402&gt;=F$4)*('Comp.'!$B$5:$B$402&lt;=EOMONTH(F$4,0))*('Comp.'!$E$5:$E$402))</f>
        <v>2520.7700000000004</v>
      </c>
      <c r="G74" s="11">
        <f>SUMPRODUCT((Diário!$E$4:$E$2662='Analítico Cp.'!$B74)*(Diário!$C$4:$C$2662&gt;=G$4)*(Diário!$C$4:$C$2662&lt;=EOMONTH(G$4,0))*(Diário!$F$4:$F$2662))
+SUMPRODUCT(('Comp.'!$D$5:$D$402=$B74)*('Comp.'!$B$5:$B$402&gt;=G$4)*('Comp.'!$B$5:$B$402&lt;=EOMONTH(G$4,0))*('Comp.'!$E$5:$E$402))</f>
        <v>1453.5300000000002</v>
      </c>
      <c r="H74" s="11">
        <f>SUMPRODUCT((Diário!$E$4:$E$2662='Analítico Cp.'!$B74)*(Diário!$C$4:$C$2662&gt;=H$4)*(Diário!$C$4:$C$2662&lt;=EOMONTH(H$4,0))*(Diário!$F$4:$F$2662))
+SUMPRODUCT(('Comp.'!$D$5:$D$402=$B74)*('Comp.'!$B$5:$B$402&gt;=H$4)*('Comp.'!$B$5:$B$402&lt;=EOMONTH(H$4,0))*('Comp.'!$E$5:$E$402))</f>
        <v>4590</v>
      </c>
      <c r="I74" s="11">
        <f>SUMPRODUCT((Diário!$E$4:$E$2662='Analítico Cp.'!$B74)*(Diário!$C$4:$C$2662&gt;=I$4)*(Diário!$C$4:$C$2662&lt;=EOMONTH(I$4,0))*(Diário!$F$4:$F$2662))
+SUMPRODUCT(('Comp.'!$D$5:$D$402=$B74)*('Comp.'!$B$5:$B$402&gt;=I$4)*('Comp.'!$B$5:$B$402&lt;=EOMONTH(I$4,0))*('Comp.'!$E$5:$E$402))</f>
        <v>0</v>
      </c>
      <c r="J74" s="11">
        <f>SUMPRODUCT((Diário!$E$4:$E$2662='Analítico Cp.'!$B74)*(Diário!$C$4:$C$2662&gt;=J$4)*(Diário!$C$4:$C$2662&lt;=EOMONTH(J$4,0))*(Diário!$F$4:$F$2662))
+SUMPRODUCT(('Comp.'!$D$5:$D$402=$B74)*('Comp.'!$B$5:$B$402&gt;=J$4)*('Comp.'!$B$5:$B$402&lt;=EOMONTH(J$4,0))*('Comp.'!$E$5:$E$402))</f>
        <v>0</v>
      </c>
      <c r="K74" s="11">
        <f>SUMPRODUCT((Diário!$E$4:$E$2662='Analítico Cp.'!$B74)*(Diário!$C$4:$C$2662&gt;=K$4)*(Diário!$C$4:$C$2662&lt;=EOMONTH(K$4,0))*(Diário!$F$4:$F$2662))
+SUMPRODUCT(('Comp.'!$D$5:$D$402=$B74)*('Comp.'!$B$5:$B$402&gt;=K$4)*('Comp.'!$B$5:$B$402&lt;=EOMONTH(K$4,0))*('Comp.'!$E$5:$E$402))</f>
        <v>0</v>
      </c>
      <c r="L74" s="11">
        <f>SUMPRODUCT((Diário!$E$4:$E$2662='Analítico Cp.'!$B74)*(Diário!$C$4:$C$2662&gt;=L$4)*(Diário!$C$4:$C$2662&lt;=EOMONTH(L$4,0))*(Diário!$F$4:$F$2662))
+SUMPRODUCT(('Comp.'!$D$5:$D$402=$B74)*('Comp.'!$B$5:$B$402&gt;=L$4)*('Comp.'!$B$5:$B$402&lt;=EOMONTH(L$4,0))*('Comp.'!$E$5:$E$402))</f>
        <v>0</v>
      </c>
      <c r="M74" s="11">
        <f>SUMPRODUCT((Diário!$E$4:$E$2662='Analítico Cp.'!$B74)*(Diário!$C$4:$C$2662&gt;=M$4)*(Diário!$C$4:$C$2662&lt;=EOMONTH(M$4,0))*(Diário!$F$4:$F$2662))
+SUMPRODUCT(('Comp.'!$D$5:$D$402=$B74)*('Comp.'!$B$5:$B$402&gt;=M$4)*('Comp.'!$B$5:$B$402&lt;=EOMONTH(M$4,0))*('Comp.'!$E$5:$E$402))</f>
        <v>0</v>
      </c>
      <c r="N74" s="11">
        <f>SUMPRODUCT((Diário!$E$4:$E$2662='Analítico Cp.'!$B74)*(Diário!$C$4:$C$2662&gt;=N$4)*(Diário!$C$4:$C$2662&lt;=EOMONTH(N$4,0))*(Diário!$F$4:$F$2662))
+SUMPRODUCT(('Comp.'!$D$5:$D$402=$B74)*('Comp.'!$B$5:$B$402&gt;=N$4)*('Comp.'!$B$5:$B$402&lt;=EOMONTH(N$4,0))*('Comp.'!$E$5:$E$402))</f>
        <v>0</v>
      </c>
      <c r="O74" s="12">
        <f t="shared" si="14"/>
        <v>17613.64</v>
      </c>
      <c r="P74" s="95">
        <f t="shared" si="13"/>
        <v>8.8210615553211227E-4</v>
      </c>
    </row>
    <row r="75" spans="1:16" ht="23.25" customHeight="1">
      <c r="A75" s="40" t="s">
        <v>117</v>
      </c>
      <c r="B75" s="59" t="s">
        <v>170</v>
      </c>
      <c r="C75" s="11">
        <f>SUMPRODUCT((Diário!$E$4:$E$2662='Analítico Cp.'!$B75)*(Diário!$C$4:$C$2662&gt;=C$4)*(Diário!$C$4:$C$2662&lt;=EOMONTH(C$4,0))*(Diário!$F$4:$F$2662))
+SUMPRODUCT(('Comp.'!$D$5:$D$402=$B75)*('Comp.'!$B$5:$B$402&gt;=C$4)*('Comp.'!$B$5:$B$402&lt;=EOMONTH(C$4,0))*('Comp.'!$E$5:$E$402))</f>
        <v>0</v>
      </c>
      <c r="D75" s="11">
        <f>SUMPRODUCT((Diário!$E$4:$E$2662='Analítico Cp.'!$B75)*(Diário!$C$4:$C$2662&gt;=D$4)*(Diário!$C$4:$C$2662&lt;=EOMONTH(D$4,0))*(Diário!$F$4:$F$2662))
+SUMPRODUCT(('Comp.'!$D$5:$D$402=$B75)*('Comp.'!$B$5:$B$402&gt;=D$4)*('Comp.'!$B$5:$B$402&lt;=EOMONTH(D$4,0))*('Comp.'!$E$5:$E$402))</f>
        <v>870.7</v>
      </c>
      <c r="E75" s="11">
        <f>SUMPRODUCT((Diário!$E$4:$E$2662='Analítico Cp.'!$B75)*(Diário!$C$4:$C$2662&gt;=E$4)*(Diário!$C$4:$C$2662&lt;=EOMONTH(E$4,0))*(Diário!$F$4:$F$2662))
+SUMPRODUCT(('Comp.'!$D$5:$D$402=$B75)*('Comp.'!$B$5:$B$402&gt;=E$4)*('Comp.'!$B$5:$B$402&lt;=EOMONTH(E$4,0))*('Comp.'!$E$5:$E$402))</f>
        <v>73095.790000000008</v>
      </c>
      <c r="F75" s="11">
        <f>SUMPRODUCT((Diário!$E$4:$E$2662='Analítico Cp.'!$B75)*(Diário!$C$4:$C$2662&gt;=F$4)*(Diário!$C$4:$C$2662&lt;=EOMONTH(F$4,0))*(Diário!$F$4:$F$2662))
+SUMPRODUCT(('Comp.'!$D$5:$D$402=$B75)*('Comp.'!$B$5:$B$402&gt;=F$4)*('Comp.'!$B$5:$B$402&lt;=EOMONTH(F$4,0))*('Comp.'!$E$5:$E$402))</f>
        <v>16168.06</v>
      </c>
      <c r="G75" s="11">
        <f>SUMPRODUCT((Diário!$E$4:$E$2662='Analítico Cp.'!$B75)*(Diário!$C$4:$C$2662&gt;=G$4)*(Diário!$C$4:$C$2662&lt;=EOMONTH(G$4,0))*(Diário!$F$4:$F$2662))
+SUMPRODUCT(('Comp.'!$D$5:$D$402=$B75)*('Comp.'!$B$5:$B$402&gt;=G$4)*('Comp.'!$B$5:$B$402&lt;=EOMONTH(G$4,0))*('Comp.'!$E$5:$E$402))</f>
        <v>13539.07</v>
      </c>
      <c r="H75" s="11">
        <f>SUMPRODUCT((Diário!$E$4:$E$2662='Analítico Cp.'!$B75)*(Diário!$C$4:$C$2662&gt;=H$4)*(Diário!$C$4:$C$2662&lt;=EOMONTH(H$4,0))*(Diário!$F$4:$F$2662))
+SUMPRODUCT(('Comp.'!$D$5:$D$402=$B75)*('Comp.'!$B$5:$B$402&gt;=H$4)*('Comp.'!$B$5:$B$402&lt;=EOMONTH(H$4,0))*('Comp.'!$E$5:$E$402))</f>
        <v>0</v>
      </c>
      <c r="I75" s="11">
        <f>SUMPRODUCT((Diário!$E$4:$E$2662='Analítico Cp.'!$B75)*(Diário!$C$4:$C$2662&gt;=I$4)*(Diário!$C$4:$C$2662&lt;=EOMONTH(I$4,0))*(Diário!$F$4:$F$2662))
+SUMPRODUCT(('Comp.'!$D$5:$D$402=$B75)*('Comp.'!$B$5:$B$402&gt;=I$4)*('Comp.'!$B$5:$B$402&lt;=EOMONTH(I$4,0))*('Comp.'!$E$5:$E$402))</f>
        <v>0</v>
      </c>
      <c r="J75" s="11">
        <f>SUMPRODUCT((Diário!$E$4:$E$2662='Analítico Cp.'!$B75)*(Diário!$C$4:$C$2662&gt;=J$4)*(Diário!$C$4:$C$2662&lt;=EOMONTH(J$4,0))*(Diário!$F$4:$F$2662))
+SUMPRODUCT(('Comp.'!$D$5:$D$402=$B75)*('Comp.'!$B$5:$B$402&gt;=J$4)*('Comp.'!$B$5:$B$402&lt;=EOMONTH(J$4,0))*('Comp.'!$E$5:$E$402))</f>
        <v>0</v>
      </c>
      <c r="K75" s="11">
        <f>SUMPRODUCT((Diário!$E$4:$E$2662='Analítico Cp.'!$B75)*(Diário!$C$4:$C$2662&gt;=K$4)*(Diário!$C$4:$C$2662&lt;=EOMONTH(K$4,0))*(Diário!$F$4:$F$2662))
+SUMPRODUCT(('Comp.'!$D$5:$D$402=$B75)*('Comp.'!$B$5:$B$402&gt;=K$4)*('Comp.'!$B$5:$B$402&lt;=EOMONTH(K$4,0))*('Comp.'!$E$5:$E$402))</f>
        <v>0</v>
      </c>
      <c r="L75" s="11">
        <f>SUMPRODUCT((Diário!$E$4:$E$2662='Analítico Cp.'!$B75)*(Diário!$C$4:$C$2662&gt;=L$4)*(Diário!$C$4:$C$2662&lt;=EOMONTH(L$4,0))*(Diário!$F$4:$F$2662))
+SUMPRODUCT(('Comp.'!$D$5:$D$402=$B75)*('Comp.'!$B$5:$B$402&gt;=L$4)*('Comp.'!$B$5:$B$402&lt;=EOMONTH(L$4,0))*('Comp.'!$E$5:$E$402))</f>
        <v>0</v>
      </c>
      <c r="M75" s="11">
        <f>SUMPRODUCT((Diário!$E$4:$E$2662='Analítico Cp.'!$B75)*(Diário!$C$4:$C$2662&gt;=M$4)*(Diário!$C$4:$C$2662&lt;=EOMONTH(M$4,0))*(Diário!$F$4:$F$2662))
+SUMPRODUCT(('Comp.'!$D$5:$D$402=$B75)*('Comp.'!$B$5:$B$402&gt;=M$4)*('Comp.'!$B$5:$B$402&lt;=EOMONTH(M$4,0))*('Comp.'!$E$5:$E$402))</f>
        <v>0</v>
      </c>
      <c r="N75" s="11">
        <f>SUMPRODUCT((Diário!$E$4:$E$2662='Analítico Cp.'!$B75)*(Diário!$C$4:$C$2662&gt;=N$4)*(Diário!$C$4:$C$2662&lt;=EOMONTH(N$4,0))*(Diário!$F$4:$F$2662))
+SUMPRODUCT(('Comp.'!$D$5:$D$402=$B75)*('Comp.'!$B$5:$B$402&gt;=N$4)*('Comp.'!$B$5:$B$402&lt;=EOMONTH(N$4,0))*('Comp.'!$E$5:$E$402))</f>
        <v>0</v>
      </c>
      <c r="O75" s="12">
        <f t="shared" si="14"/>
        <v>103673.62</v>
      </c>
      <c r="P75" s="95">
        <f t="shared" si="13"/>
        <v>5.1920635580321338E-3</v>
      </c>
    </row>
    <row r="76" spans="1:16" ht="23.25" customHeight="1">
      <c r="A76" s="40" t="s">
        <v>118</v>
      </c>
      <c r="B76" s="60" t="s">
        <v>171</v>
      </c>
      <c r="C76" s="11">
        <f>SUMPRODUCT((Diário!$E$4:$E$2662='Analítico Cp.'!$B76)*(Diário!$C$4:$C$2662&gt;=C$4)*(Diário!$C$4:$C$2662&lt;=EOMONTH(C$4,0))*(Diário!$F$4:$F$2662))
+SUMPRODUCT(('Comp.'!$D$5:$D$402=$B76)*('Comp.'!$B$5:$B$402&gt;=C$4)*('Comp.'!$B$5:$B$402&lt;=EOMONTH(C$4,0))*('Comp.'!$E$5:$E$402))</f>
        <v>569.67999999999995</v>
      </c>
      <c r="D76" s="11">
        <f>SUMPRODUCT((Diário!$E$4:$E$2662='Analítico Cp.'!$B76)*(Diário!$C$4:$C$2662&gt;=D$4)*(Diário!$C$4:$C$2662&lt;=EOMONTH(D$4,0))*(Diário!$F$4:$F$2662))
+SUMPRODUCT(('Comp.'!$D$5:$D$402=$B76)*('Comp.'!$B$5:$B$402&gt;=D$4)*('Comp.'!$B$5:$B$402&lt;=EOMONTH(D$4,0))*('Comp.'!$E$5:$E$402))</f>
        <v>9290.91</v>
      </c>
      <c r="E76" s="11">
        <f>SUMPRODUCT((Diário!$E$4:$E$2662='Analítico Cp.'!$B76)*(Diário!$C$4:$C$2662&gt;=E$4)*(Diário!$C$4:$C$2662&lt;=EOMONTH(E$4,0))*(Diário!$F$4:$F$2662))
+SUMPRODUCT(('Comp.'!$D$5:$D$402=$B76)*('Comp.'!$B$5:$B$402&gt;=E$4)*('Comp.'!$B$5:$B$402&lt;=EOMONTH(E$4,0))*('Comp.'!$E$5:$E$402))</f>
        <v>8873.619999999999</v>
      </c>
      <c r="F76" s="11">
        <f>SUMPRODUCT((Diário!$E$4:$E$2662='Analítico Cp.'!$B76)*(Diário!$C$4:$C$2662&gt;=F$4)*(Diário!$C$4:$C$2662&lt;=EOMONTH(F$4,0))*(Diário!$F$4:$F$2662))
+SUMPRODUCT(('Comp.'!$D$5:$D$402=$B76)*('Comp.'!$B$5:$B$402&gt;=F$4)*('Comp.'!$B$5:$B$402&lt;=EOMONTH(F$4,0))*('Comp.'!$E$5:$E$402))</f>
        <v>18402.61</v>
      </c>
      <c r="G76" s="11">
        <f>SUMPRODUCT((Diário!$E$4:$E$2662='Analítico Cp.'!$B76)*(Diário!$C$4:$C$2662&gt;=G$4)*(Diário!$C$4:$C$2662&lt;=EOMONTH(G$4,0))*(Diário!$F$4:$F$2662))
+SUMPRODUCT(('Comp.'!$D$5:$D$402=$B76)*('Comp.'!$B$5:$B$402&gt;=G$4)*('Comp.'!$B$5:$B$402&lt;=EOMONTH(G$4,0))*('Comp.'!$E$5:$E$402))</f>
        <v>7204.5699999999988</v>
      </c>
      <c r="H76" s="11">
        <f>SUMPRODUCT((Diário!$E$4:$E$2662='Analítico Cp.'!$B76)*(Diário!$C$4:$C$2662&gt;=H$4)*(Diário!$C$4:$C$2662&lt;=EOMONTH(H$4,0))*(Diário!$F$4:$F$2662))
+SUMPRODUCT(('Comp.'!$D$5:$D$402=$B76)*('Comp.'!$B$5:$B$402&gt;=H$4)*('Comp.'!$B$5:$B$402&lt;=EOMONTH(H$4,0))*('Comp.'!$E$5:$E$402))</f>
        <v>19444.830000000002</v>
      </c>
      <c r="I76" s="11">
        <f>SUMPRODUCT((Diário!$E$4:$E$2662='Analítico Cp.'!$B76)*(Diário!$C$4:$C$2662&gt;=I$4)*(Diário!$C$4:$C$2662&lt;=EOMONTH(I$4,0))*(Diário!$F$4:$F$2662))
+SUMPRODUCT(('Comp.'!$D$5:$D$402=$B76)*('Comp.'!$B$5:$B$402&gt;=I$4)*('Comp.'!$B$5:$B$402&lt;=EOMONTH(I$4,0))*('Comp.'!$E$5:$E$402))</f>
        <v>0</v>
      </c>
      <c r="J76" s="11">
        <f>SUMPRODUCT((Diário!$E$4:$E$2662='Analítico Cp.'!$B76)*(Diário!$C$4:$C$2662&gt;=J$4)*(Diário!$C$4:$C$2662&lt;=EOMONTH(J$4,0))*(Diário!$F$4:$F$2662))
+SUMPRODUCT(('Comp.'!$D$5:$D$402=$B76)*('Comp.'!$B$5:$B$402&gt;=J$4)*('Comp.'!$B$5:$B$402&lt;=EOMONTH(J$4,0))*('Comp.'!$E$5:$E$402))</f>
        <v>0</v>
      </c>
      <c r="K76" s="11">
        <f>SUMPRODUCT((Diário!$E$4:$E$2662='Analítico Cp.'!$B76)*(Diário!$C$4:$C$2662&gt;=K$4)*(Diário!$C$4:$C$2662&lt;=EOMONTH(K$4,0))*(Diário!$F$4:$F$2662))
+SUMPRODUCT(('Comp.'!$D$5:$D$402=$B76)*('Comp.'!$B$5:$B$402&gt;=K$4)*('Comp.'!$B$5:$B$402&lt;=EOMONTH(K$4,0))*('Comp.'!$E$5:$E$402))</f>
        <v>0</v>
      </c>
      <c r="L76" s="11">
        <f>SUMPRODUCT((Diário!$E$4:$E$2662='Analítico Cp.'!$B76)*(Diário!$C$4:$C$2662&gt;=L$4)*(Diário!$C$4:$C$2662&lt;=EOMONTH(L$4,0))*(Diário!$F$4:$F$2662))
+SUMPRODUCT(('Comp.'!$D$5:$D$402=$B76)*('Comp.'!$B$5:$B$402&gt;=L$4)*('Comp.'!$B$5:$B$402&lt;=EOMONTH(L$4,0))*('Comp.'!$E$5:$E$402))</f>
        <v>0</v>
      </c>
      <c r="M76" s="11">
        <f>SUMPRODUCT((Diário!$E$4:$E$2662='Analítico Cp.'!$B76)*(Diário!$C$4:$C$2662&gt;=M$4)*(Diário!$C$4:$C$2662&lt;=EOMONTH(M$4,0))*(Diário!$F$4:$F$2662))
+SUMPRODUCT(('Comp.'!$D$5:$D$402=$B76)*('Comp.'!$B$5:$B$402&gt;=M$4)*('Comp.'!$B$5:$B$402&lt;=EOMONTH(M$4,0))*('Comp.'!$E$5:$E$402))</f>
        <v>0</v>
      </c>
      <c r="N76" s="11">
        <f>SUMPRODUCT((Diário!$E$4:$E$2662='Analítico Cp.'!$B76)*(Diário!$C$4:$C$2662&gt;=N$4)*(Diário!$C$4:$C$2662&lt;=EOMONTH(N$4,0))*(Diário!$F$4:$F$2662))
+SUMPRODUCT(('Comp.'!$D$5:$D$402=$B76)*('Comp.'!$B$5:$B$402&gt;=N$4)*('Comp.'!$B$5:$B$402&lt;=EOMONTH(N$4,0))*('Comp.'!$E$5:$E$402))</f>
        <v>0</v>
      </c>
      <c r="O76" s="12">
        <f t="shared" si="14"/>
        <v>63786.22</v>
      </c>
      <c r="P76" s="95">
        <f t="shared" si="13"/>
        <v>3.1944684517297693E-3</v>
      </c>
    </row>
    <row r="77" spans="1:16" ht="23.25" customHeight="1">
      <c r="A77" s="40" t="s">
        <v>119</v>
      </c>
      <c r="B77" s="60" t="s">
        <v>172</v>
      </c>
      <c r="C77" s="11">
        <f>SUMPRODUCT((Diário!$E$4:$E$2662='Analítico Cp.'!$B77)*(Diário!$C$4:$C$2662&gt;=C$4)*(Diário!$C$4:$C$2662&lt;=EOMONTH(C$4,0))*(Diário!$F$4:$F$2662))
+SUMPRODUCT(('Comp.'!$D$5:$D$402=$B77)*('Comp.'!$B$5:$B$402&gt;=C$4)*('Comp.'!$B$5:$B$402&lt;=EOMONTH(C$4,0))*('Comp.'!$E$5:$E$402))</f>
        <v>0</v>
      </c>
      <c r="D77" s="11">
        <f>SUMPRODUCT((Diário!$E$4:$E$2662='Analítico Cp.'!$B77)*(Diário!$C$4:$C$2662&gt;=D$4)*(Diário!$C$4:$C$2662&lt;=EOMONTH(D$4,0))*(Diário!$F$4:$F$2662))
+SUMPRODUCT(('Comp.'!$D$5:$D$402=$B77)*('Comp.'!$B$5:$B$402&gt;=D$4)*('Comp.'!$B$5:$B$402&lt;=EOMONTH(D$4,0))*('Comp.'!$E$5:$E$402))</f>
        <v>0</v>
      </c>
      <c r="E77" s="11">
        <f>SUMPRODUCT((Diário!$E$4:$E$2662='Analítico Cp.'!$B77)*(Diário!$C$4:$C$2662&gt;=E$4)*(Diário!$C$4:$C$2662&lt;=EOMONTH(E$4,0))*(Diário!$F$4:$F$2662))
+SUMPRODUCT(('Comp.'!$D$5:$D$402=$B77)*('Comp.'!$B$5:$B$402&gt;=E$4)*('Comp.'!$B$5:$B$402&lt;=EOMONTH(E$4,0))*('Comp.'!$E$5:$E$402))</f>
        <v>0</v>
      </c>
      <c r="F77" s="11">
        <f>SUMPRODUCT((Diário!$E$4:$E$2662='Analítico Cp.'!$B77)*(Diário!$C$4:$C$2662&gt;=F$4)*(Diário!$C$4:$C$2662&lt;=EOMONTH(F$4,0))*(Diário!$F$4:$F$2662))
+SUMPRODUCT(('Comp.'!$D$5:$D$402=$B77)*('Comp.'!$B$5:$B$402&gt;=F$4)*('Comp.'!$B$5:$B$402&lt;=EOMONTH(F$4,0))*('Comp.'!$E$5:$E$402))</f>
        <v>0</v>
      </c>
      <c r="G77" s="11">
        <f>SUMPRODUCT((Diário!$E$4:$E$2662='Analítico Cp.'!$B77)*(Diário!$C$4:$C$2662&gt;=G$4)*(Diário!$C$4:$C$2662&lt;=EOMONTH(G$4,0))*(Diário!$F$4:$F$2662))
+SUMPRODUCT(('Comp.'!$D$5:$D$402=$B77)*('Comp.'!$B$5:$B$402&gt;=G$4)*('Comp.'!$B$5:$B$402&lt;=EOMONTH(G$4,0))*('Comp.'!$E$5:$E$402))</f>
        <v>0</v>
      </c>
      <c r="H77" s="11">
        <f>SUMPRODUCT((Diário!$E$4:$E$2662='Analítico Cp.'!$B77)*(Diário!$C$4:$C$2662&gt;=H$4)*(Diário!$C$4:$C$2662&lt;=EOMONTH(H$4,0))*(Diário!$F$4:$F$2662))
+SUMPRODUCT(('Comp.'!$D$5:$D$402=$B77)*('Comp.'!$B$5:$B$402&gt;=H$4)*('Comp.'!$B$5:$B$402&lt;=EOMONTH(H$4,0))*('Comp.'!$E$5:$E$402))</f>
        <v>0</v>
      </c>
      <c r="I77" s="11">
        <f>SUMPRODUCT((Diário!$E$4:$E$2662='Analítico Cp.'!$B77)*(Diário!$C$4:$C$2662&gt;=I$4)*(Diário!$C$4:$C$2662&lt;=EOMONTH(I$4,0))*(Diário!$F$4:$F$2662))
+SUMPRODUCT(('Comp.'!$D$5:$D$402=$B77)*('Comp.'!$B$5:$B$402&gt;=I$4)*('Comp.'!$B$5:$B$402&lt;=EOMONTH(I$4,0))*('Comp.'!$E$5:$E$402))</f>
        <v>0</v>
      </c>
      <c r="J77" s="11">
        <f>SUMPRODUCT((Diário!$E$4:$E$2662='Analítico Cp.'!$B77)*(Diário!$C$4:$C$2662&gt;=J$4)*(Diário!$C$4:$C$2662&lt;=EOMONTH(J$4,0))*(Diário!$F$4:$F$2662))
+SUMPRODUCT(('Comp.'!$D$5:$D$402=$B77)*('Comp.'!$B$5:$B$402&gt;=J$4)*('Comp.'!$B$5:$B$402&lt;=EOMONTH(J$4,0))*('Comp.'!$E$5:$E$402))</f>
        <v>0</v>
      </c>
      <c r="K77" s="11">
        <f>SUMPRODUCT((Diário!$E$4:$E$2662='Analítico Cp.'!$B77)*(Diário!$C$4:$C$2662&gt;=K$4)*(Diário!$C$4:$C$2662&lt;=EOMONTH(K$4,0))*(Diário!$F$4:$F$2662))
+SUMPRODUCT(('Comp.'!$D$5:$D$402=$B77)*('Comp.'!$B$5:$B$402&gt;=K$4)*('Comp.'!$B$5:$B$402&lt;=EOMONTH(K$4,0))*('Comp.'!$E$5:$E$402))</f>
        <v>0</v>
      </c>
      <c r="L77" s="11">
        <f>SUMPRODUCT((Diário!$E$4:$E$2662='Analítico Cp.'!$B77)*(Diário!$C$4:$C$2662&gt;=L$4)*(Diário!$C$4:$C$2662&lt;=EOMONTH(L$4,0))*(Diário!$F$4:$F$2662))
+SUMPRODUCT(('Comp.'!$D$5:$D$402=$B77)*('Comp.'!$B$5:$B$402&gt;=L$4)*('Comp.'!$B$5:$B$402&lt;=EOMONTH(L$4,0))*('Comp.'!$E$5:$E$402))</f>
        <v>0</v>
      </c>
      <c r="M77" s="11">
        <f>SUMPRODUCT((Diário!$E$4:$E$2662='Analítico Cp.'!$B77)*(Diário!$C$4:$C$2662&gt;=M$4)*(Diário!$C$4:$C$2662&lt;=EOMONTH(M$4,0))*(Diário!$F$4:$F$2662))
+SUMPRODUCT(('Comp.'!$D$5:$D$402=$B77)*('Comp.'!$B$5:$B$402&gt;=M$4)*('Comp.'!$B$5:$B$402&lt;=EOMONTH(M$4,0))*('Comp.'!$E$5:$E$402))</f>
        <v>0</v>
      </c>
      <c r="N77" s="11">
        <f>SUMPRODUCT((Diário!$E$4:$E$2662='Analítico Cp.'!$B77)*(Diário!$C$4:$C$2662&gt;=N$4)*(Diário!$C$4:$C$2662&lt;=EOMONTH(N$4,0))*(Diário!$F$4:$F$2662))
+SUMPRODUCT(('Comp.'!$D$5:$D$402=$B77)*('Comp.'!$B$5:$B$402&gt;=N$4)*('Comp.'!$B$5:$B$402&lt;=EOMONTH(N$4,0))*('Comp.'!$E$5:$E$402))</f>
        <v>0</v>
      </c>
      <c r="O77" s="12">
        <f t="shared" si="14"/>
        <v>0</v>
      </c>
      <c r="P77" s="95">
        <f t="shared" si="13"/>
        <v>0</v>
      </c>
    </row>
    <row r="78" spans="1:16" ht="23.25" customHeight="1">
      <c r="A78" s="40" t="s">
        <v>120</v>
      </c>
      <c r="B78" s="60" t="s">
        <v>173</v>
      </c>
      <c r="C78" s="11">
        <f>SUMPRODUCT((Diário!$E$4:$E$2662='Analítico Cp.'!$B78)*(Diário!$C$4:$C$2662&gt;=C$4)*(Diário!$C$4:$C$2662&lt;=EOMONTH(C$4,0))*(Diário!$F$4:$F$2662))
+SUMPRODUCT(('Comp.'!$D$5:$D$402=$B78)*('Comp.'!$B$5:$B$402&gt;=C$4)*('Comp.'!$B$5:$B$402&lt;=EOMONTH(C$4,0))*('Comp.'!$E$5:$E$402))</f>
        <v>0</v>
      </c>
      <c r="D78" s="11">
        <f>SUMPRODUCT((Diário!$E$4:$E$2662='Analítico Cp.'!$B78)*(Diário!$C$4:$C$2662&gt;=D$4)*(Diário!$C$4:$C$2662&lt;=EOMONTH(D$4,0))*(Diário!$F$4:$F$2662))
+SUMPRODUCT(('Comp.'!$D$5:$D$402=$B78)*('Comp.'!$B$5:$B$402&gt;=D$4)*('Comp.'!$B$5:$B$402&lt;=EOMONTH(D$4,0))*('Comp.'!$E$5:$E$402))</f>
        <v>0</v>
      </c>
      <c r="E78" s="11">
        <f>SUMPRODUCT((Diário!$E$4:$E$2662='Analítico Cp.'!$B78)*(Diário!$C$4:$C$2662&gt;=E$4)*(Diário!$C$4:$C$2662&lt;=EOMONTH(E$4,0))*(Diário!$F$4:$F$2662))
+SUMPRODUCT(('Comp.'!$D$5:$D$402=$B78)*('Comp.'!$B$5:$B$402&gt;=E$4)*('Comp.'!$B$5:$B$402&lt;=EOMONTH(E$4,0))*('Comp.'!$E$5:$E$402))</f>
        <v>0</v>
      </c>
      <c r="F78" s="11">
        <f>SUMPRODUCT((Diário!$E$4:$E$2662='Analítico Cp.'!$B78)*(Diário!$C$4:$C$2662&gt;=F$4)*(Diário!$C$4:$C$2662&lt;=EOMONTH(F$4,0))*(Diário!$F$4:$F$2662))
+SUMPRODUCT(('Comp.'!$D$5:$D$402=$B78)*('Comp.'!$B$5:$B$402&gt;=F$4)*('Comp.'!$B$5:$B$402&lt;=EOMONTH(F$4,0))*('Comp.'!$E$5:$E$402))</f>
        <v>0</v>
      </c>
      <c r="G78" s="11">
        <f>SUMPRODUCT((Diário!$E$4:$E$2662='Analítico Cp.'!$B78)*(Diário!$C$4:$C$2662&gt;=G$4)*(Diário!$C$4:$C$2662&lt;=EOMONTH(G$4,0))*(Diário!$F$4:$F$2662))
+SUMPRODUCT(('Comp.'!$D$5:$D$402=$B78)*('Comp.'!$B$5:$B$402&gt;=G$4)*('Comp.'!$B$5:$B$402&lt;=EOMONTH(G$4,0))*('Comp.'!$E$5:$E$402))</f>
        <v>0</v>
      </c>
      <c r="H78" s="11">
        <f>SUMPRODUCT((Diário!$E$4:$E$2662='Analítico Cp.'!$B78)*(Diário!$C$4:$C$2662&gt;=H$4)*(Diário!$C$4:$C$2662&lt;=EOMONTH(H$4,0))*(Diário!$F$4:$F$2662))
+SUMPRODUCT(('Comp.'!$D$5:$D$402=$B78)*('Comp.'!$B$5:$B$402&gt;=H$4)*('Comp.'!$B$5:$B$402&lt;=EOMONTH(H$4,0))*('Comp.'!$E$5:$E$402))</f>
        <v>0</v>
      </c>
      <c r="I78" s="11">
        <f>SUMPRODUCT((Diário!$E$4:$E$2662='Analítico Cp.'!$B78)*(Diário!$C$4:$C$2662&gt;=I$4)*(Diário!$C$4:$C$2662&lt;=EOMONTH(I$4,0))*(Diário!$F$4:$F$2662))
+SUMPRODUCT(('Comp.'!$D$5:$D$402=$B78)*('Comp.'!$B$5:$B$402&gt;=I$4)*('Comp.'!$B$5:$B$402&lt;=EOMONTH(I$4,0))*('Comp.'!$E$5:$E$402))</f>
        <v>0</v>
      </c>
      <c r="J78" s="11">
        <f>SUMPRODUCT((Diário!$E$4:$E$2662='Analítico Cp.'!$B78)*(Diário!$C$4:$C$2662&gt;=J$4)*(Diário!$C$4:$C$2662&lt;=EOMONTH(J$4,0))*(Diário!$F$4:$F$2662))
+SUMPRODUCT(('Comp.'!$D$5:$D$402=$B78)*('Comp.'!$B$5:$B$402&gt;=J$4)*('Comp.'!$B$5:$B$402&lt;=EOMONTH(J$4,0))*('Comp.'!$E$5:$E$402))</f>
        <v>0</v>
      </c>
      <c r="K78" s="11">
        <f>SUMPRODUCT((Diário!$E$4:$E$2662='Analítico Cp.'!$B78)*(Diário!$C$4:$C$2662&gt;=K$4)*(Diário!$C$4:$C$2662&lt;=EOMONTH(K$4,0))*(Diário!$F$4:$F$2662))
+SUMPRODUCT(('Comp.'!$D$5:$D$402=$B78)*('Comp.'!$B$5:$B$402&gt;=K$4)*('Comp.'!$B$5:$B$402&lt;=EOMONTH(K$4,0))*('Comp.'!$E$5:$E$402))</f>
        <v>0</v>
      </c>
      <c r="L78" s="11">
        <f>SUMPRODUCT((Diário!$E$4:$E$2662='Analítico Cp.'!$B78)*(Diário!$C$4:$C$2662&gt;=L$4)*(Diário!$C$4:$C$2662&lt;=EOMONTH(L$4,0))*(Diário!$F$4:$F$2662))
+SUMPRODUCT(('Comp.'!$D$5:$D$402=$B78)*('Comp.'!$B$5:$B$402&gt;=L$4)*('Comp.'!$B$5:$B$402&lt;=EOMONTH(L$4,0))*('Comp.'!$E$5:$E$402))</f>
        <v>0</v>
      </c>
      <c r="M78" s="11">
        <f>SUMPRODUCT((Diário!$E$4:$E$2662='Analítico Cp.'!$B78)*(Diário!$C$4:$C$2662&gt;=M$4)*(Diário!$C$4:$C$2662&lt;=EOMONTH(M$4,0))*(Diário!$F$4:$F$2662))
+SUMPRODUCT(('Comp.'!$D$5:$D$402=$B78)*('Comp.'!$B$5:$B$402&gt;=M$4)*('Comp.'!$B$5:$B$402&lt;=EOMONTH(M$4,0))*('Comp.'!$E$5:$E$402))</f>
        <v>0</v>
      </c>
      <c r="N78" s="11">
        <f>SUMPRODUCT((Diário!$E$4:$E$2662='Analítico Cp.'!$B78)*(Diário!$C$4:$C$2662&gt;=N$4)*(Diário!$C$4:$C$2662&lt;=EOMONTH(N$4,0))*(Diário!$F$4:$F$2662))
+SUMPRODUCT(('Comp.'!$D$5:$D$402=$B78)*('Comp.'!$B$5:$B$402&gt;=N$4)*('Comp.'!$B$5:$B$402&lt;=EOMONTH(N$4,0))*('Comp.'!$E$5:$E$402))</f>
        <v>0</v>
      </c>
      <c r="O78" s="12">
        <f t="shared" si="14"/>
        <v>0</v>
      </c>
      <c r="P78" s="95">
        <f t="shared" si="13"/>
        <v>0</v>
      </c>
    </row>
    <row r="79" spans="1:16" ht="23.25" customHeight="1">
      <c r="A79" s="40" t="s">
        <v>121</v>
      </c>
      <c r="B79" s="60" t="s">
        <v>235</v>
      </c>
      <c r="C79" s="11">
        <f>SUMPRODUCT((Diário!$E$4:$E$2662='Analítico Cp.'!$B79)*(Diário!$C$4:$C$2662&gt;=C$4)*(Diário!$C$4:$C$2662&lt;=EOMONTH(C$4,0))*(Diário!$F$4:$F$2662))
+SUMPRODUCT(('Comp.'!$D$5:$D$402=$B79)*('Comp.'!$B$5:$B$402&gt;=C$4)*('Comp.'!$B$5:$B$402&lt;=EOMONTH(C$4,0))*('Comp.'!$E$5:$E$402))</f>
        <v>0</v>
      </c>
      <c r="D79" s="11">
        <f>SUMPRODUCT((Diário!$E$4:$E$2662='Analítico Cp.'!$B79)*(Diário!$C$4:$C$2662&gt;=D$4)*(Diário!$C$4:$C$2662&lt;=EOMONTH(D$4,0))*(Diário!$F$4:$F$2662))
+SUMPRODUCT(('Comp.'!$D$5:$D$402=$B79)*('Comp.'!$B$5:$B$402&gt;=D$4)*('Comp.'!$B$5:$B$402&lt;=EOMONTH(D$4,0))*('Comp.'!$E$5:$E$402))</f>
        <v>0</v>
      </c>
      <c r="E79" s="11">
        <f>SUMPRODUCT((Diário!$E$4:$E$2662='Analítico Cp.'!$B79)*(Diário!$C$4:$C$2662&gt;=E$4)*(Diário!$C$4:$C$2662&lt;=EOMONTH(E$4,0))*(Diário!$F$4:$F$2662))
+SUMPRODUCT(('Comp.'!$D$5:$D$402=$B79)*('Comp.'!$B$5:$B$402&gt;=E$4)*('Comp.'!$B$5:$B$402&lt;=EOMONTH(E$4,0))*('Comp.'!$E$5:$E$402))</f>
        <v>0</v>
      </c>
      <c r="F79" s="11">
        <f>SUMPRODUCT((Diário!$E$4:$E$2662='Analítico Cp.'!$B79)*(Diário!$C$4:$C$2662&gt;=F$4)*(Diário!$C$4:$C$2662&lt;=EOMONTH(F$4,0))*(Diário!$F$4:$F$2662))
+SUMPRODUCT(('Comp.'!$D$5:$D$402=$B79)*('Comp.'!$B$5:$B$402&gt;=F$4)*('Comp.'!$B$5:$B$402&lt;=EOMONTH(F$4,0))*('Comp.'!$E$5:$E$402))</f>
        <v>0</v>
      </c>
      <c r="G79" s="11">
        <f>SUMPRODUCT((Diário!$E$4:$E$2662='Analítico Cp.'!$B79)*(Diário!$C$4:$C$2662&gt;=G$4)*(Diário!$C$4:$C$2662&lt;=EOMONTH(G$4,0))*(Diário!$F$4:$F$2662))
+SUMPRODUCT(('Comp.'!$D$5:$D$402=$B79)*('Comp.'!$B$5:$B$402&gt;=G$4)*('Comp.'!$B$5:$B$402&lt;=EOMONTH(G$4,0))*('Comp.'!$E$5:$E$402))</f>
        <v>0</v>
      </c>
      <c r="H79" s="11">
        <f>SUMPRODUCT((Diário!$E$4:$E$2662='Analítico Cp.'!$B79)*(Diário!$C$4:$C$2662&gt;=H$4)*(Diário!$C$4:$C$2662&lt;=EOMONTH(H$4,0))*(Diário!$F$4:$F$2662))
+SUMPRODUCT(('Comp.'!$D$5:$D$402=$B79)*('Comp.'!$B$5:$B$402&gt;=H$4)*('Comp.'!$B$5:$B$402&lt;=EOMONTH(H$4,0))*('Comp.'!$E$5:$E$402))</f>
        <v>0</v>
      </c>
      <c r="I79" s="11">
        <f>SUMPRODUCT((Diário!$E$4:$E$2662='Analítico Cp.'!$B79)*(Diário!$C$4:$C$2662&gt;=I$4)*(Diário!$C$4:$C$2662&lt;=EOMONTH(I$4,0))*(Diário!$F$4:$F$2662))
+SUMPRODUCT(('Comp.'!$D$5:$D$402=$B79)*('Comp.'!$B$5:$B$402&gt;=I$4)*('Comp.'!$B$5:$B$402&lt;=EOMONTH(I$4,0))*('Comp.'!$E$5:$E$402))</f>
        <v>0</v>
      </c>
      <c r="J79" s="11">
        <f>SUMPRODUCT((Diário!$E$4:$E$2662='Analítico Cp.'!$B79)*(Diário!$C$4:$C$2662&gt;=J$4)*(Diário!$C$4:$C$2662&lt;=EOMONTH(J$4,0))*(Diário!$F$4:$F$2662))
+SUMPRODUCT(('Comp.'!$D$5:$D$402=$B79)*('Comp.'!$B$5:$B$402&gt;=J$4)*('Comp.'!$B$5:$B$402&lt;=EOMONTH(J$4,0))*('Comp.'!$E$5:$E$402))</f>
        <v>0</v>
      </c>
      <c r="K79" s="11">
        <f>SUMPRODUCT((Diário!$E$4:$E$2662='Analítico Cp.'!$B79)*(Diário!$C$4:$C$2662&gt;=K$4)*(Diário!$C$4:$C$2662&lt;=EOMONTH(K$4,0))*(Diário!$F$4:$F$2662))
+SUMPRODUCT(('Comp.'!$D$5:$D$402=$B79)*('Comp.'!$B$5:$B$402&gt;=K$4)*('Comp.'!$B$5:$B$402&lt;=EOMONTH(K$4,0))*('Comp.'!$E$5:$E$402))</f>
        <v>0</v>
      </c>
      <c r="L79" s="11">
        <f>SUMPRODUCT((Diário!$E$4:$E$2662='Analítico Cp.'!$B79)*(Diário!$C$4:$C$2662&gt;=L$4)*(Diário!$C$4:$C$2662&lt;=EOMONTH(L$4,0))*(Diário!$F$4:$F$2662))
+SUMPRODUCT(('Comp.'!$D$5:$D$402=$B79)*('Comp.'!$B$5:$B$402&gt;=L$4)*('Comp.'!$B$5:$B$402&lt;=EOMONTH(L$4,0))*('Comp.'!$E$5:$E$402))</f>
        <v>0</v>
      </c>
      <c r="M79" s="11">
        <f>SUMPRODUCT((Diário!$E$4:$E$2662='Analítico Cp.'!$B79)*(Diário!$C$4:$C$2662&gt;=M$4)*(Diário!$C$4:$C$2662&lt;=EOMONTH(M$4,0))*(Diário!$F$4:$F$2662))
+SUMPRODUCT(('Comp.'!$D$5:$D$402=$B79)*('Comp.'!$B$5:$B$402&gt;=M$4)*('Comp.'!$B$5:$B$402&lt;=EOMONTH(M$4,0))*('Comp.'!$E$5:$E$402))</f>
        <v>0</v>
      </c>
      <c r="N79" s="11">
        <f>SUMPRODUCT((Diário!$E$4:$E$2662='Analítico Cp.'!$B79)*(Diário!$C$4:$C$2662&gt;=N$4)*(Diário!$C$4:$C$2662&lt;=EOMONTH(N$4,0))*(Diário!$F$4:$F$2662))
+SUMPRODUCT(('Comp.'!$D$5:$D$402=$B79)*('Comp.'!$B$5:$B$402&gt;=N$4)*('Comp.'!$B$5:$B$402&lt;=EOMONTH(N$4,0))*('Comp.'!$E$5:$E$402))</f>
        <v>0</v>
      </c>
      <c r="O79" s="12">
        <f t="shared" si="14"/>
        <v>0</v>
      </c>
      <c r="P79" s="95">
        <f t="shared" si="13"/>
        <v>0</v>
      </c>
    </row>
    <row r="80" spans="1:16" ht="23.25" customHeight="1">
      <c r="A80" s="40" t="s">
        <v>122</v>
      </c>
      <c r="B80" s="60" t="s">
        <v>80</v>
      </c>
      <c r="C80" s="11">
        <f>SUMPRODUCT((Diário!$E$4:$E$2662='Analítico Cp.'!$B80)*(Diário!$C$4:$C$2662&gt;=C$4)*(Diário!$C$4:$C$2662&lt;=EOMONTH(C$4,0))*(Diário!$F$4:$F$2662))
+SUMPRODUCT(('Comp.'!$D$5:$D$402=$B80)*('Comp.'!$B$5:$B$402&gt;=C$4)*('Comp.'!$B$5:$B$402&lt;=EOMONTH(C$4,0))*('Comp.'!$E$5:$E$402))</f>
        <v>0</v>
      </c>
      <c r="D80" s="11">
        <f>SUMPRODUCT((Diário!$E$4:$E$2662='Analítico Cp.'!$B80)*(Diário!$C$4:$C$2662&gt;=D$4)*(Diário!$C$4:$C$2662&lt;=EOMONTH(D$4,0))*(Diário!$F$4:$F$2662))
+SUMPRODUCT(('Comp.'!$D$5:$D$402=$B80)*('Comp.'!$B$5:$B$402&gt;=D$4)*('Comp.'!$B$5:$B$402&lt;=EOMONTH(D$4,0))*('Comp.'!$E$5:$E$402))</f>
        <v>0</v>
      </c>
      <c r="E80" s="11">
        <f>SUMPRODUCT((Diário!$E$4:$E$2662='Analítico Cp.'!$B80)*(Diário!$C$4:$C$2662&gt;=E$4)*(Diário!$C$4:$C$2662&lt;=EOMONTH(E$4,0))*(Diário!$F$4:$F$2662))
+SUMPRODUCT(('Comp.'!$D$5:$D$402=$B80)*('Comp.'!$B$5:$B$402&gt;=E$4)*('Comp.'!$B$5:$B$402&lt;=EOMONTH(E$4,0))*('Comp.'!$E$5:$E$402))</f>
        <v>0</v>
      </c>
      <c r="F80" s="11">
        <f>SUMPRODUCT((Diário!$E$4:$E$2662='Analítico Cp.'!$B80)*(Diário!$C$4:$C$2662&gt;=F$4)*(Diário!$C$4:$C$2662&lt;=EOMONTH(F$4,0))*(Diário!$F$4:$F$2662))
+SUMPRODUCT(('Comp.'!$D$5:$D$402=$B80)*('Comp.'!$B$5:$B$402&gt;=F$4)*('Comp.'!$B$5:$B$402&lt;=EOMONTH(F$4,0))*('Comp.'!$E$5:$E$402))</f>
        <v>0</v>
      </c>
      <c r="G80" s="11">
        <f>SUMPRODUCT((Diário!$E$4:$E$2662='Analítico Cp.'!$B80)*(Diário!$C$4:$C$2662&gt;=G$4)*(Diário!$C$4:$C$2662&lt;=EOMONTH(G$4,0))*(Diário!$F$4:$F$2662))
+SUMPRODUCT(('Comp.'!$D$5:$D$402=$B80)*('Comp.'!$B$5:$B$402&gt;=G$4)*('Comp.'!$B$5:$B$402&lt;=EOMONTH(G$4,0))*('Comp.'!$E$5:$E$402))</f>
        <v>0</v>
      </c>
      <c r="H80" s="11">
        <f>SUMPRODUCT((Diário!$E$4:$E$2662='Analítico Cp.'!$B80)*(Diário!$C$4:$C$2662&gt;=H$4)*(Diário!$C$4:$C$2662&lt;=EOMONTH(H$4,0))*(Diário!$F$4:$F$2662))
+SUMPRODUCT(('Comp.'!$D$5:$D$402=$B80)*('Comp.'!$B$5:$B$402&gt;=H$4)*('Comp.'!$B$5:$B$402&lt;=EOMONTH(H$4,0))*('Comp.'!$E$5:$E$402))</f>
        <v>0</v>
      </c>
      <c r="I80" s="11">
        <f>SUMPRODUCT((Diário!$E$4:$E$2662='Analítico Cp.'!$B80)*(Diário!$C$4:$C$2662&gt;=I$4)*(Diário!$C$4:$C$2662&lt;=EOMONTH(I$4,0))*(Diário!$F$4:$F$2662))
+SUMPRODUCT(('Comp.'!$D$5:$D$402=$B80)*('Comp.'!$B$5:$B$402&gt;=I$4)*('Comp.'!$B$5:$B$402&lt;=EOMONTH(I$4,0))*('Comp.'!$E$5:$E$402))</f>
        <v>0</v>
      </c>
      <c r="J80" s="11">
        <f>SUMPRODUCT((Diário!$E$4:$E$2662='Analítico Cp.'!$B80)*(Diário!$C$4:$C$2662&gt;=J$4)*(Diário!$C$4:$C$2662&lt;=EOMONTH(J$4,0))*(Diário!$F$4:$F$2662))
+SUMPRODUCT(('Comp.'!$D$5:$D$402=$B80)*('Comp.'!$B$5:$B$402&gt;=J$4)*('Comp.'!$B$5:$B$402&lt;=EOMONTH(J$4,0))*('Comp.'!$E$5:$E$402))</f>
        <v>0</v>
      </c>
      <c r="K80" s="11">
        <f>SUMPRODUCT((Diário!$E$4:$E$2662='Analítico Cp.'!$B80)*(Diário!$C$4:$C$2662&gt;=K$4)*(Diário!$C$4:$C$2662&lt;=EOMONTH(K$4,0))*(Diário!$F$4:$F$2662))
+SUMPRODUCT(('Comp.'!$D$5:$D$402=$B80)*('Comp.'!$B$5:$B$402&gt;=K$4)*('Comp.'!$B$5:$B$402&lt;=EOMONTH(K$4,0))*('Comp.'!$E$5:$E$402))</f>
        <v>0</v>
      </c>
      <c r="L80" s="11">
        <f>SUMPRODUCT((Diário!$E$4:$E$2662='Analítico Cp.'!$B80)*(Diário!$C$4:$C$2662&gt;=L$4)*(Diário!$C$4:$C$2662&lt;=EOMONTH(L$4,0))*(Diário!$F$4:$F$2662))
+SUMPRODUCT(('Comp.'!$D$5:$D$402=$B80)*('Comp.'!$B$5:$B$402&gt;=L$4)*('Comp.'!$B$5:$B$402&lt;=EOMONTH(L$4,0))*('Comp.'!$E$5:$E$402))</f>
        <v>0</v>
      </c>
      <c r="M80" s="11">
        <f>SUMPRODUCT((Diário!$E$4:$E$2662='Analítico Cp.'!$B80)*(Diário!$C$4:$C$2662&gt;=M$4)*(Diário!$C$4:$C$2662&lt;=EOMONTH(M$4,0))*(Diário!$F$4:$F$2662))
+SUMPRODUCT(('Comp.'!$D$5:$D$402=$B80)*('Comp.'!$B$5:$B$402&gt;=M$4)*('Comp.'!$B$5:$B$402&lt;=EOMONTH(M$4,0))*('Comp.'!$E$5:$E$402))</f>
        <v>0</v>
      </c>
      <c r="N80" s="11">
        <f>SUMPRODUCT((Diário!$E$4:$E$2662='Analítico Cp.'!$B80)*(Diário!$C$4:$C$2662&gt;=N$4)*(Diário!$C$4:$C$2662&lt;=EOMONTH(N$4,0))*(Diário!$F$4:$F$2662))
+SUMPRODUCT(('Comp.'!$D$5:$D$402=$B80)*('Comp.'!$B$5:$B$402&gt;=N$4)*('Comp.'!$B$5:$B$402&lt;=EOMONTH(N$4,0))*('Comp.'!$E$5:$E$402))</f>
        <v>0</v>
      </c>
      <c r="O80" s="12">
        <f t="shared" si="14"/>
        <v>0</v>
      </c>
      <c r="P80" s="95">
        <f t="shared" si="13"/>
        <v>0</v>
      </c>
    </row>
    <row r="81" spans="1:16" ht="23.25" customHeight="1">
      <c r="A81" s="40" t="s">
        <v>123</v>
      </c>
      <c r="B81" s="60" t="s">
        <v>289</v>
      </c>
      <c r="C81" s="11">
        <f>SUMPRODUCT((Diário!$E$4:$E$2662='Analítico Cp.'!$B81)*(Diário!$C$4:$C$2662&gt;=C$4)*(Diário!$C$4:$C$2662&lt;=EOMONTH(C$4,0))*(Diário!$F$4:$F$2662))
+SUMPRODUCT(('Comp.'!$D$5:$D$402=$B81)*('Comp.'!$B$5:$B$402&gt;=C$4)*('Comp.'!$B$5:$B$402&lt;=EOMONTH(C$4,0))*('Comp.'!$E$5:$E$402))</f>
        <v>0</v>
      </c>
      <c r="D81" s="11">
        <f>SUMPRODUCT((Diário!$E$4:$E$2662='Analítico Cp.'!$B81)*(Diário!$C$4:$C$2662&gt;=D$4)*(Diário!$C$4:$C$2662&lt;=EOMONTH(D$4,0))*(Diário!$F$4:$F$2662))
+SUMPRODUCT(('Comp.'!$D$5:$D$402=$B81)*('Comp.'!$B$5:$B$402&gt;=D$4)*('Comp.'!$B$5:$B$402&lt;=EOMONTH(D$4,0))*('Comp.'!$E$5:$E$402))</f>
        <v>0</v>
      </c>
      <c r="E81" s="11">
        <f>SUMPRODUCT((Diário!$E$4:$E$2662='Analítico Cp.'!$B81)*(Diário!$C$4:$C$2662&gt;=E$4)*(Diário!$C$4:$C$2662&lt;=EOMONTH(E$4,0))*(Diário!$F$4:$F$2662))
+SUMPRODUCT(('Comp.'!$D$5:$D$402=$B81)*('Comp.'!$B$5:$B$402&gt;=E$4)*('Comp.'!$B$5:$B$402&lt;=EOMONTH(E$4,0))*('Comp.'!$E$5:$E$402))</f>
        <v>0</v>
      </c>
      <c r="F81" s="11">
        <f>SUMPRODUCT((Diário!$E$4:$E$2662='Analítico Cp.'!$B81)*(Diário!$C$4:$C$2662&gt;=F$4)*(Diário!$C$4:$C$2662&lt;=EOMONTH(F$4,0))*(Diário!$F$4:$F$2662))
+SUMPRODUCT(('Comp.'!$D$5:$D$402=$B81)*('Comp.'!$B$5:$B$402&gt;=F$4)*('Comp.'!$B$5:$B$402&lt;=EOMONTH(F$4,0))*('Comp.'!$E$5:$E$402))</f>
        <v>0</v>
      </c>
      <c r="G81" s="11">
        <f>SUMPRODUCT((Diário!$E$4:$E$2662='Analítico Cp.'!$B81)*(Diário!$C$4:$C$2662&gt;=G$4)*(Diário!$C$4:$C$2662&lt;=EOMONTH(G$4,0))*(Diário!$F$4:$F$2662))
+SUMPRODUCT(('Comp.'!$D$5:$D$402=$B81)*('Comp.'!$B$5:$B$402&gt;=G$4)*('Comp.'!$B$5:$B$402&lt;=EOMONTH(G$4,0))*('Comp.'!$E$5:$E$402))</f>
        <v>0</v>
      </c>
      <c r="H81" s="11">
        <f>SUMPRODUCT((Diário!$E$4:$E$2662='Analítico Cp.'!$B81)*(Diário!$C$4:$C$2662&gt;=H$4)*(Diário!$C$4:$C$2662&lt;=EOMONTH(H$4,0))*(Diário!$F$4:$F$2662))
+SUMPRODUCT(('Comp.'!$D$5:$D$402=$B81)*('Comp.'!$B$5:$B$402&gt;=H$4)*('Comp.'!$B$5:$B$402&lt;=EOMONTH(H$4,0))*('Comp.'!$E$5:$E$402))</f>
        <v>0</v>
      </c>
      <c r="I81" s="11">
        <f>SUMPRODUCT((Diário!$E$4:$E$2662='Analítico Cp.'!$B81)*(Diário!$C$4:$C$2662&gt;=I$4)*(Diário!$C$4:$C$2662&lt;=EOMONTH(I$4,0))*(Diário!$F$4:$F$2662))
+SUMPRODUCT(('Comp.'!$D$5:$D$402=$B81)*('Comp.'!$B$5:$B$402&gt;=I$4)*('Comp.'!$B$5:$B$402&lt;=EOMONTH(I$4,0))*('Comp.'!$E$5:$E$402))</f>
        <v>0</v>
      </c>
      <c r="J81" s="11">
        <f>SUMPRODUCT((Diário!$E$4:$E$2662='Analítico Cp.'!$B81)*(Diário!$C$4:$C$2662&gt;=J$4)*(Diário!$C$4:$C$2662&lt;=EOMONTH(J$4,0))*(Diário!$F$4:$F$2662))
+SUMPRODUCT(('Comp.'!$D$5:$D$402=$B81)*('Comp.'!$B$5:$B$402&gt;=J$4)*('Comp.'!$B$5:$B$402&lt;=EOMONTH(J$4,0))*('Comp.'!$E$5:$E$402))</f>
        <v>0</v>
      </c>
      <c r="K81" s="11">
        <f>SUMPRODUCT((Diário!$E$4:$E$2662='Analítico Cp.'!$B81)*(Diário!$C$4:$C$2662&gt;=K$4)*(Diário!$C$4:$C$2662&lt;=EOMONTH(K$4,0))*(Diário!$F$4:$F$2662))
+SUMPRODUCT(('Comp.'!$D$5:$D$402=$B81)*('Comp.'!$B$5:$B$402&gt;=K$4)*('Comp.'!$B$5:$B$402&lt;=EOMONTH(K$4,0))*('Comp.'!$E$5:$E$402))</f>
        <v>0</v>
      </c>
      <c r="L81" s="11">
        <f>SUMPRODUCT((Diário!$E$4:$E$2662='Analítico Cp.'!$B81)*(Diário!$C$4:$C$2662&gt;=L$4)*(Diário!$C$4:$C$2662&lt;=EOMONTH(L$4,0))*(Diário!$F$4:$F$2662))
+SUMPRODUCT(('Comp.'!$D$5:$D$402=$B81)*('Comp.'!$B$5:$B$402&gt;=L$4)*('Comp.'!$B$5:$B$402&lt;=EOMONTH(L$4,0))*('Comp.'!$E$5:$E$402))</f>
        <v>0</v>
      </c>
      <c r="M81" s="11">
        <f>SUMPRODUCT((Diário!$E$4:$E$2662='Analítico Cp.'!$B81)*(Diário!$C$4:$C$2662&gt;=M$4)*(Diário!$C$4:$C$2662&lt;=EOMONTH(M$4,0))*(Diário!$F$4:$F$2662))
+SUMPRODUCT(('Comp.'!$D$5:$D$402=$B81)*('Comp.'!$B$5:$B$402&gt;=M$4)*('Comp.'!$B$5:$B$402&lt;=EOMONTH(M$4,0))*('Comp.'!$E$5:$E$402))</f>
        <v>0</v>
      </c>
      <c r="N81" s="11">
        <f>SUMPRODUCT((Diário!$E$4:$E$2662='Analítico Cp.'!$B81)*(Diário!$C$4:$C$2662&gt;=N$4)*(Diário!$C$4:$C$2662&lt;=EOMONTH(N$4,0))*(Diário!$F$4:$F$2662))
+SUMPRODUCT(('Comp.'!$D$5:$D$402=$B81)*('Comp.'!$B$5:$B$402&gt;=N$4)*('Comp.'!$B$5:$B$402&lt;=EOMONTH(N$4,0))*('Comp.'!$E$5:$E$402))</f>
        <v>0</v>
      </c>
      <c r="O81" s="12">
        <f t="shared" si="14"/>
        <v>0</v>
      </c>
      <c r="P81" s="95">
        <f t="shared" si="13"/>
        <v>0</v>
      </c>
    </row>
    <row r="82" spans="1:16" ht="23.25" customHeight="1">
      <c r="A82" s="40" t="s">
        <v>133</v>
      </c>
      <c r="B82" s="60" t="s">
        <v>70</v>
      </c>
      <c r="C82" s="11">
        <f>SUMPRODUCT((Diário!$E$4:$E$2662='Analítico Cp.'!$B82)*(Diário!$C$4:$C$2662&gt;=C$4)*(Diário!$C$4:$C$2662&lt;=EOMONTH(C$4,0))*(Diário!$F$4:$F$2662))
+SUMPRODUCT(('Comp.'!$D$5:$D$402=$B82)*('Comp.'!$B$5:$B$402&gt;=C$4)*('Comp.'!$B$5:$B$402&lt;=EOMONTH(C$4,0))*('Comp.'!$E$5:$E$402))</f>
        <v>0</v>
      </c>
      <c r="D82" s="11">
        <f>SUMPRODUCT((Diário!$E$4:$E$2662='Analítico Cp.'!$B82)*(Diário!$C$4:$C$2662&gt;=D$4)*(Diário!$C$4:$C$2662&lt;=EOMONTH(D$4,0))*(Diário!$F$4:$F$2662))
+SUMPRODUCT(('Comp.'!$D$5:$D$402=$B82)*('Comp.'!$B$5:$B$402&gt;=D$4)*('Comp.'!$B$5:$B$402&lt;=EOMONTH(D$4,0))*('Comp.'!$E$5:$E$402))</f>
        <v>3606</v>
      </c>
      <c r="E82" s="11">
        <f>SUMPRODUCT((Diário!$E$4:$E$2662='Analítico Cp.'!$B82)*(Diário!$C$4:$C$2662&gt;=E$4)*(Diário!$C$4:$C$2662&lt;=EOMONTH(E$4,0))*(Diário!$F$4:$F$2662))
+SUMPRODUCT(('Comp.'!$D$5:$D$402=$B82)*('Comp.'!$B$5:$B$402&gt;=E$4)*('Comp.'!$B$5:$B$402&lt;=EOMONTH(E$4,0))*('Comp.'!$E$5:$E$402))</f>
        <v>2703.98</v>
      </c>
      <c r="F82" s="11">
        <f>SUMPRODUCT((Diário!$E$4:$E$2662='Analítico Cp.'!$B82)*(Diário!$C$4:$C$2662&gt;=F$4)*(Diário!$C$4:$C$2662&lt;=EOMONTH(F$4,0))*(Diário!$F$4:$F$2662))
+SUMPRODUCT(('Comp.'!$D$5:$D$402=$B82)*('Comp.'!$B$5:$B$402&gt;=F$4)*('Comp.'!$B$5:$B$402&lt;=EOMONTH(F$4,0))*('Comp.'!$E$5:$E$402))</f>
        <v>5394.25</v>
      </c>
      <c r="G82" s="11">
        <f>SUMPRODUCT((Diário!$E$4:$E$2662='Analítico Cp.'!$B82)*(Diário!$C$4:$C$2662&gt;=G$4)*(Diário!$C$4:$C$2662&lt;=EOMONTH(G$4,0))*(Diário!$F$4:$F$2662))
+SUMPRODUCT(('Comp.'!$D$5:$D$402=$B82)*('Comp.'!$B$5:$B$402&gt;=G$4)*('Comp.'!$B$5:$B$402&lt;=EOMONTH(G$4,0))*('Comp.'!$E$5:$E$402))</f>
        <v>9020</v>
      </c>
      <c r="H82" s="11">
        <f>SUMPRODUCT((Diário!$E$4:$E$2662='Analítico Cp.'!$B82)*(Diário!$C$4:$C$2662&gt;=H$4)*(Diário!$C$4:$C$2662&lt;=EOMONTH(H$4,0))*(Diário!$F$4:$F$2662))
+SUMPRODUCT(('Comp.'!$D$5:$D$402=$B82)*('Comp.'!$B$5:$B$402&gt;=H$4)*('Comp.'!$B$5:$B$402&lt;=EOMONTH(H$4,0))*('Comp.'!$E$5:$E$402))</f>
        <v>0</v>
      </c>
      <c r="I82" s="11">
        <f>SUMPRODUCT((Diário!$E$4:$E$2662='Analítico Cp.'!$B82)*(Diário!$C$4:$C$2662&gt;=I$4)*(Diário!$C$4:$C$2662&lt;=EOMONTH(I$4,0))*(Diário!$F$4:$F$2662))
+SUMPRODUCT(('Comp.'!$D$5:$D$402=$B82)*('Comp.'!$B$5:$B$402&gt;=I$4)*('Comp.'!$B$5:$B$402&lt;=EOMONTH(I$4,0))*('Comp.'!$E$5:$E$402))</f>
        <v>0</v>
      </c>
      <c r="J82" s="11">
        <f>SUMPRODUCT((Diário!$E$4:$E$2662='Analítico Cp.'!$B82)*(Diário!$C$4:$C$2662&gt;=J$4)*(Diário!$C$4:$C$2662&lt;=EOMONTH(J$4,0))*(Diário!$F$4:$F$2662))
+SUMPRODUCT(('Comp.'!$D$5:$D$402=$B82)*('Comp.'!$B$5:$B$402&gt;=J$4)*('Comp.'!$B$5:$B$402&lt;=EOMONTH(J$4,0))*('Comp.'!$E$5:$E$402))</f>
        <v>0</v>
      </c>
      <c r="K82" s="11">
        <f>SUMPRODUCT((Diário!$E$4:$E$2662='Analítico Cp.'!$B82)*(Diário!$C$4:$C$2662&gt;=K$4)*(Diário!$C$4:$C$2662&lt;=EOMONTH(K$4,0))*(Diário!$F$4:$F$2662))
+SUMPRODUCT(('Comp.'!$D$5:$D$402=$B82)*('Comp.'!$B$5:$B$402&gt;=K$4)*('Comp.'!$B$5:$B$402&lt;=EOMONTH(K$4,0))*('Comp.'!$E$5:$E$402))</f>
        <v>0</v>
      </c>
      <c r="L82" s="11">
        <f>SUMPRODUCT((Diário!$E$4:$E$2662='Analítico Cp.'!$B82)*(Diário!$C$4:$C$2662&gt;=L$4)*(Diário!$C$4:$C$2662&lt;=EOMONTH(L$4,0))*(Diário!$F$4:$F$2662))
+SUMPRODUCT(('Comp.'!$D$5:$D$402=$B82)*('Comp.'!$B$5:$B$402&gt;=L$4)*('Comp.'!$B$5:$B$402&lt;=EOMONTH(L$4,0))*('Comp.'!$E$5:$E$402))</f>
        <v>0</v>
      </c>
      <c r="M82" s="11">
        <f>SUMPRODUCT((Diário!$E$4:$E$2662='Analítico Cp.'!$B82)*(Diário!$C$4:$C$2662&gt;=M$4)*(Diário!$C$4:$C$2662&lt;=EOMONTH(M$4,0))*(Diário!$F$4:$F$2662))
+SUMPRODUCT(('Comp.'!$D$5:$D$402=$B82)*('Comp.'!$B$5:$B$402&gt;=M$4)*('Comp.'!$B$5:$B$402&lt;=EOMONTH(M$4,0))*('Comp.'!$E$5:$E$402))</f>
        <v>0</v>
      </c>
      <c r="N82" s="11">
        <f>SUMPRODUCT((Diário!$E$4:$E$2662='Analítico Cp.'!$B82)*(Diário!$C$4:$C$2662&gt;=N$4)*(Diário!$C$4:$C$2662&lt;=EOMONTH(N$4,0))*(Diário!$F$4:$F$2662))
+SUMPRODUCT(('Comp.'!$D$5:$D$402=$B82)*('Comp.'!$B$5:$B$402&gt;=N$4)*('Comp.'!$B$5:$B$402&lt;=EOMONTH(N$4,0))*('Comp.'!$E$5:$E$402))</f>
        <v>0</v>
      </c>
      <c r="O82" s="12">
        <f t="shared" si="14"/>
        <v>20724.23</v>
      </c>
      <c r="P82" s="95">
        <f t="shared" si="13"/>
        <v>1.0378871631112744E-3</v>
      </c>
    </row>
    <row r="83" spans="1:16" ht="23.25" customHeight="1">
      <c r="A83" s="40" t="s">
        <v>134</v>
      </c>
      <c r="B83" s="60" t="s">
        <v>174</v>
      </c>
      <c r="C83" s="11">
        <f>SUMPRODUCT((Diário!$E$4:$E$2662='Analítico Cp.'!$B83)*(Diário!$C$4:$C$2662&gt;=C$4)*(Diário!$C$4:$C$2662&lt;=EOMONTH(C$4,0))*(Diário!$F$4:$F$2662))
+SUMPRODUCT(('Comp.'!$D$5:$D$402=$B83)*('Comp.'!$B$5:$B$402&gt;=C$4)*('Comp.'!$B$5:$B$402&lt;=EOMONTH(C$4,0))*('Comp.'!$E$5:$E$402))</f>
        <v>0</v>
      </c>
      <c r="D83" s="11">
        <f>SUMPRODUCT((Diário!$E$4:$E$2662='Analítico Cp.'!$B83)*(Diário!$C$4:$C$2662&gt;=D$4)*(Diário!$C$4:$C$2662&lt;=EOMONTH(D$4,0))*(Diário!$F$4:$F$2662))
+SUMPRODUCT(('Comp.'!$D$5:$D$402=$B83)*('Comp.'!$B$5:$B$402&gt;=D$4)*('Comp.'!$B$5:$B$402&lt;=EOMONTH(D$4,0))*('Comp.'!$E$5:$E$402))</f>
        <v>0</v>
      </c>
      <c r="E83" s="11">
        <f>SUMPRODUCT((Diário!$E$4:$E$2662='Analítico Cp.'!$B83)*(Diário!$C$4:$C$2662&gt;=E$4)*(Diário!$C$4:$C$2662&lt;=EOMONTH(E$4,0))*(Diário!$F$4:$F$2662))
+SUMPRODUCT(('Comp.'!$D$5:$D$402=$B83)*('Comp.'!$B$5:$B$402&gt;=E$4)*('Comp.'!$B$5:$B$402&lt;=EOMONTH(E$4,0))*('Comp.'!$E$5:$E$402))</f>
        <v>0</v>
      </c>
      <c r="F83" s="11">
        <f>SUMPRODUCT((Diário!$E$4:$E$2662='Analítico Cp.'!$B83)*(Diário!$C$4:$C$2662&gt;=F$4)*(Diário!$C$4:$C$2662&lt;=EOMONTH(F$4,0))*(Diário!$F$4:$F$2662))
+SUMPRODUCT(('Comp.'!$D$5:$D$402=$B83)*('Comp.'!$B$5:$B$402&gt;=F$4)*('Comp.'!$B$5:$B$402&lt;=EOMONTH(F$4,0))*('Comp.'!$E$5:$E$402))</f>
        <v>0</v>
      </c>
      <c r="G83" s="11">
        <f>SUMPRODUCT((Diário!$E$4:$E$2662='Analítico Cp.'!$B83)*(Diário!$C$4:$C$2662&gt;=G$4)*(Diário!$C$4:$C$2662&lt;=EOMONTH(G$4,0))*(Diário!$F$4:$F$2662))
+SUMPRODUCT(('Comp.'!$D$5:$D$402=$B83)*('Comp.'!$B$5:$B$402&gt;=G$4)*('Comp.'!$B$5:$B$402&lt;=EOMONTH(G$4,0))*('Comp.'!$E$5:$E$402))</f>
        <v>0</v>
      </c>
      <c r="H83" s="11">
        <f>SUMPRODUCT((Diário!$E$4:$E$2662='Analítico Cp.'!$B83)*(Diário!$C$4:$C$2662&gt;=H$4)*(Diário!$C$4:$C$2662&lt;=EOMONTH(H$4,0))*(Diário!$F$4:$F$2662))
+SUMPRODUCT(('Comp.'!$D$5:$D$402=$B83)*('Comp.'!$B$5:$B$402&gt;=H$4)*('Comp.'!$B$5:$B$402&lt;=EOMONTH(H$4,0))*('Comp.'!$E$5:$E$402))</f>
        <v>0</v>
      </c>
      <c r="I83" s="11">
        <f>SUMPRODUCT((Diário!$E$4:$E$2662='Analítico Cp.'!$B83)*(Diário!$C$4:$C$2662&gt;=I$4)*(Diário!$C$4:$C$2662&lt;=EOMONTH(I$4,0))*(Diário!$F$4:$F$2662))
+SUMPRODUCT(('Comp.'!$D$5:$D$402=$B83)*('Comp.'!$B$5:$B$402&gt;=I$4)*('Comp.'!$B$5:$B$402&lt;=EOMONTH(I$4,0))*('Comp.'!$E$5:$E$402))</f>
        <v>0</v>
      </c>
      <c r="J83" s="11">
        <f>SUMPRODUCT((Diário!$E$4:$E$2662='Analítico Cp.'!$B83)*(Diário!$C$4:$C$2662&gt;=J$4)*(Diário!$C$4:$C$2662&lt;=EOMONTH(J$4,0))*(Diário!$F$4:$F$2662))
+SUMPRODUCT(('Comp.'!$D$5:$D$402=$B83)*('Comp.'!$B$5:$B$402&gt;=J$4)*('Comp.'!$B$5:$B$402&lt;=EOMONTH(J$4,0))*('Comp.'!$E$5:$E$402))</f>
        <v>0</v>
      </c>
      <c r="K83" s="11">
        <f>SUMPRODUCT((Diário!$E$4:$E$2662='Analítico Cp.'!$B83)*(Diário!$C$4:$C$2662&gt;=K$4)*(Diário!$C$4:$C$2662&lt;=EOMONTH(K$4,0))*(Diário!$F$4:$F$2662))
+SUMPRODUCT(('Comp.'!$D$5:$D$402=$B83)*('Comp.'!$B$5:$B$402&gt;=K$4)*('Comp.'!$B$5:$B$402&lt;=EOMONTH(K$4,0))*('Comp.'!$E$5:$E$402))</f>
        <v>0</v>
      </c>
      <c r="L83" s="11">
        <f>SUMPRODUCT((Diário!$E$4:$E$2662='Analítico Cp.'!$B83)*(Diário!$C$4:$C$2662&gt;=L$4)*(Diário!$C$4:$C$2662&lt;=EOMONTH(L$4,0))*(Diário!$F$4:$F$2662))
+SUMPRODUCT(('Comp.'!$D$5:$D$402=$B83)*('Comp.'!$B$5:$B$402&gt;=L$4)*('Comp.'!$B$5:$B$402&lt;=EOMONTH(L$4,0))*('Comp.'!$E$5:$E$402))</f>
        <v>0</v>
      </c>
      <c r="M83" s="11">
        <f>SUMPRODUCT((Diário!$E$4:$E$2662='Analítico Cp.'!$B83)*(Diário!$C$4:$C$2662&gt;=M$4)*(Diário!$C$4:$C$2662&lt;=EOMONTH(M$4,0))*(Diário!$F$4:$F$2662))
+SUMPRODUCT(('Comp.'!$D$5:$D$402=$B83)*('Comp.'!$B$5:$B$402&gt;=M$4)*('Comp.'!$B$5:$B$402&lt;=EOMONTH(M$4,0))*('Comp.'!$E$5:$E$402))</f>
        <v>0</v>
      </c>
      <c r="N83" s="11">
        <f>SUMPRODUCT((Diário!$E$4:$E$2662='Analítico Cp.'!$B83)*(Diário!$C$4:$C$2662&gt;=N$4)*(Diário!$C$4:$C$2662&lt;=EOMONTH(N$4,0))*(Diário!$F$4:$F$2662))
+SUMPRODUCT(('Comp.'!$D$5:$D$402=$B83)*('Comp.'!$B$5:$B$402&gt;=N$4)*('Comp.'!$B$5:$B$402&lt;=EOMONTH(N$4,0))*('Comp.'!$E$5:$E$402))</f>
        <v>0</v>
      </c>
      <c r="O83" s="12">
        <f t="shared" si="14"/>
        <v>0</v>
      </c>
      <c r="P83" s="95">
        <f t="shared" si="13"/>
        <v>0</v>
      </c>
    </row>
    <row r="84" spans="1:16" ht="23.25" customHeight="1">
      <c r="A84" s="40" t="s">
        <v>135</v>
      </c>
      <c r="B84" s="60" t="s">
        <v>78</v>
      </c>
      <c r="C84" s="11">
        <f>SUMPRODUCT((Diário!$E$4:$E$2662='Analítico Cp.'!$B84)*(Diário!$C$4:$C$2662&gt;=C$4)*(Diário!$C$4:$C$2662&lt;=EOMONTH(C$4,0))*(Diário!$F$4:$F$2662))
+SUMPRODUCT(('Comp.'!$D$5:$D$402=$B84)*('Comp.'!$B$5:$B$402&gt;=C$4)*('Comp.'!$B$5:$B$402&lt;=EOMONTH(C$4,0))*('Comp.'!$E$5:$E$402))</f>
        <v>14922.869999999999</v>
      </c>
      <c r="D84" s="11">
        <f>SUMPRODUCT((Diário!$E$4:$E$2662='Analítico Cp.'!$B84)*(Diário!$C$4:$C$2662&gt;=D$4)*(Diário!$C$4:$C$2662&lt;=EOMONTH(D$4,0))*(Diário!$F$4:$F$2662))
+SUMPRODUCT(('Comp.'!$D$5:$D$402=$B84)*('Comp.'!$B$5:$B$402&gt;=D$4)*('Comp.'!$B$5:$B$402&lt;=EOMONTH(D$4,0))*('Comp.'!$E$5:$E$402))</f>
        <v>17381.100000000002</v>
      </c>
      <c r="E84" s="11">
        <f>SUMPRODUCT((Diário!$E$4:$E$2662='Analítico Cp.'!$B84)*(Diário!$C$4:$C$2662&gt;=E$4)*(Diário!$C$4:$C$2662&lt;=EOMONTH(E$4,0))*(Diário!$F$4:$F$2662))
+SUMPRODUCT(('Comp.'!$D$5:$D$402=$B84)*('Comp.'!$B$5:$B$402&gt;=E$4)*('Comp.'!$B$5:$B$402&lt;=EOMONTH(E$4,0))*('Comp.'!$E$5:$E$402))</f>
        <v>20793.270000000004</v>
      </c>
      <c r="F84" s="11">
        <f>SUMPRODUCT((Diário!$E$4:$E$2662='Analítico Cp.'!$B84)*(Diário!$C$4:$C$2662&gt;=F$4)*(Diário!$C$4:$C$2662&lt;=EOMONTH(F$4,0))*(Diário!$F$4:$F$2662))
+SUMPRODUCT(('Comp.'!$D$5:$D$402=$B84)*('Comp.'!$B$5:$B$402&gt;=F$4)*('Comp.'!$B$5:$B$402&lt;=EOMONTH(F$4,0))*('Comp.'!$E$5:$E$402))</f>
        <v>21597.939999999995</v>
      </c>
      <c r="G84" s="11">
        <f>SUMPRODUCT((Diário!$E$4:$E$2662='Analítico Cp.'!$B84)*(Diário!$C$4:$C$2662&gt;=G$4)*(Diário!$C$4:$C$2662&lt;=EOMONTH(G$4,0))*(Diário!$F$4:$F$2662))
+SUMPRODUCT(('Comp.'!$D$5:$D$402=$B84)*('Comp.'!$B$5:$B$402&gt;=G$4)*('Comp.'!$B$5:$B$402&lt;=EOMONTH(G$4,0))*('Comp.'!$E$5:$E$402))</f>
        <v>25510.58</v>
      </c>
      <c r="H84" s="11">
        <f>SUMPRODUCT((Diário!$E$4:$E$2662='Analítico Cp.'!$B84)*(Diário!$C$4:$C$2662&gt;=H$4)*(Diário!$C$4:$C$2662&lt;=EOMONTH(H$4,0))*(Diário!$F$4:$F$2662))
+SUMPRODUCT(('Comp.'!$D$5:$D$402=$B84)*('Comp.'!$B$5:$B$402&gt;=H$4)*('Comp.'!$B$5:$B$402&lt;=EOMONTH(H$4,0))*('Comp.'!$E$5:$E$402))</f>
        <v>19674.559999999998</v>
      </c>
      <c r="I84" s="11">
        <f>SUMPRODUCT((Diário!$E$4:$E$2662='Analítico Cp.'!$B84)*(Diário!$C$4:$C$2662&gt;=I$4)*(Diário!$C$4:$C$2662&lt;=EOMONTH(I$4,0))*(Diário!$F$4:$F$2662))
+SUMPRODUCT(('Comp.'!$D$5:$D$402=$B84)*('Comp.'!$B$5:$B$402&gt;=I$4)*('Comp.'!$B$5:$B$402&lt;=EOMONTH(I$4,0))*('Comp.'!$E$5:$E$402))</f>
        <v>0</v>
      </c>
      <c r="J84" s="11">
        <f>SUMPRODUCT((Diário!$E$4:$E$2662='Analítico Cp.'!$B84)*(Diário!$C$4:$C$2662&gt;=J$4)*(Diário!$C$4:$C$2662&lt;=EOMONTH(J$4,0))*(Diário!$F$4:$F$2662))
+SUMPRODUCT(('Comp.'!$D$5:$D$402=$B84)*('Comp.'!$B$5:$B$402&gt;=J$4)*('Comp.'!$B$5:$B$402&lt;=EOMONTH(J$4,0))*('Comp.'!$E$5:$E$402))</f>
        <v>0</v>
      </c>
      <c r="K84" s="11">
        <f>SUMPRODUCT((Diário!$E$4:$E$2662='Analítico Cp.'!$B84)*(Diário!$C$4:$C$2662&gt;=K$4)*(Diário!$C$4:$C$2662&lt;=EOMONTH(K$4,0))*(Diário!$F$4:$F$2662))
+SUMPRODUCT(('Comp.'!$D$5:$D$402=$B84)*('Comp.'!$B$5:$B$402&gt;=K$4)*('Comp.'!$B$5:$B$402&lt;=EOMONTH(K$4,0))*('Comp.'!$E$5:$E$402))</f>
        <v>0</v>
      </c>
      <c r="L84" s="11">
        <f>SUMPRODUCT((Diário!$E$4:$E$2662='Analítico Cp.'!$B84)*(Diário!$C$4:$C$2662&gt;=L$4)*(Diário!$C$4:$C$2662&lt;=EOMONTH(L$4,0))*(Diário!$F$4:$F$2662))
+SUMPRODUCT(('Comp.'!$D$5:$D$402=$B84)*('Comp.'!$B$5:$B$402&gt;=L$4)*('Comp.'!$B$5:$B$402&lt;=EOMONTH(L$4,0))*('Comp.'!$E$5:$E$402))</f>
        <v>0</v>
      </c>
      <c r="M84" s="11">
        <f>SUMPRODUCT((Diário!$E$4:$E$2662='Analítico Cp.'!$B84)*(Diário!$C$4:$C$2662&gt;=M$4)*(Diário!$C$4:$C$2662&lt;=EOMONTH(M$4,0))*(Diário!$F$4:$F$2662))
+SUMPRODUCT(('Comp.'!$D$5:$D$402=$B84)*('Comp.'!$B$5:$B$402&gt;=M$4)*('Comp.'!$B$5:$B$402&lt;=EOMONTH(M$4,0))*('Comp.'!$E$5:$E$402))</f>
        <v>0</v>
      </c>
      <c r="N84" s="11">
        <f>SUMPRODUCT((Diário!$E$4:$E$2662='Analítico Cp.'!$B84)*(Diário!$C$4:$C$2662&gt;=N$4)*(Diário!$C$4:$C$2662&lt;=EOMONTH(N$4,0))*(Diário!$F$4:$F$2662))
+SUMPRODUCT(('Comp.'!$D$5:$D$402=$B84)*('Comp.'!$B$5:$B$402&gt;=N$4)*('Comp.'!$B$5:$B$402&lt;=EOMONTH(N$4,0))*('Comp.'!$E$5:$E$402))</f>
        <v>0</v>
      </c>
      <c r="O84" s="12">
        <f t="shared" si="14"/>
        <v>119880.31999999999</v>
      </c>
      <c r="P84" s="95">
        <f t="shared" si="13"/>
        <v>6.0037089550575226E-3</v>
      </c>
    </row>
    <row r="85" spans="1:16" ht="23.25" customHeight="1">
      <c r="A85" s="40" t="s">
        <v>136</v>
      </c>
      <c r="B85" s="60" t="s">
        <v>74</v>
      </c>
      <c r="C85" s="11">
        <f>SUMPRODUCT((Diário!$E$4:$E$2662='Analítico Cp.'!$B85)*(Diário!$C$4:$C$2662&gt;=C$4)*(Diário!$C$4:$C$2662&lt;=EOMONTH(C$4,0))*(Diário!$F$4:$F$2662))
+SUMPRODUCT(('Comp.'!$D$5:$D$402=$B85)*('Comp.'!$B$5:$B$402&gt;=C$4)*('Comp.'!$B$5:$B$402&lt;=EOMONTH(C$4,0))*('Comp.'!$E$5:$E$402))</f>
        <v>0</v>
      </c>
      <c r="D85" s="11">
        <f>SUMPRODUCT((Diário!$E$4:$E$2662='Analítico Cp.'!$B85)*(Diário!$C$4:$C$2662&gt;=D$4)*(Diário!$C$4:$C$2662&lt;=EOMONTH(D$4,0))*(Diário!$F$4:$F$2662))
+SUMPRODUCT(('Comp.'!$D$5:$D$402=$B85)*('Comp.'!$B$5:$B$402&gt;=D$4)*('Comp.'!$B$5:$B$402&lt;=EOMONTH(D$4,0))*('Comp.'!$E$5:$E$402))</f>
        <v>1440.9</v>
      </c>
      <c r="E85" s="11">
        <f>SUMPRODUCT((Diário!$E$4:$E$2662='Analítico Cp.'!$B85)*(Diário!$C$4:$C$2662&gt;=E$4)*(Diário!$C$4:$C$2662&lt;=EOMONTH(E$4,0))*(Diário!$F$4:$F$2662))
+SUMPRODUCT(('Comp.'!$D$5:$D$402=$B85)*('Comp.'!$B$5:$B$402&gt;=E$4)*('Comp.'!$B$5:$B$402&lt;=EOMONTH(E$4,0))*('Comp.'!$E$5:$E$402))</f>
        <v>24319.399999999998</v>
      </c>
      <c r="F85" s="11">
        <f>SUMPRODUCT((Diário!$E$4:$E$2662='Analítico Cp.'!$B85)*(Diário!$C$4:$C$2662&gt;=F$4)*(Diário!$C$4:$C$2662&lt;=EOMONTH(F$4,0))*(Diário!$F$4:$F$2662))
+SUMPRODUCT(('Comp.'!$D$5:$D$402=$B85)*('Comp.'!$B$5:$B$402&gt;=F$4)*('Comp.'!$B$5:$B$402&lt;=EOMONTH(F$4,0))*('Comp.'!$E$5:$E$402))</f>
        <v>396</v>
      </c>
      <c r="G85" s="11">
        <f>SUMPRODUCT((Diário!$E$4:$E$2662='Analítico Cp.'!$B85)*(Diário!$C$4:$C$2662&gt;=G$4)*(Diário!$C$4:$C$2662&lt;=EOMONTH(G$4,0))*(Diário!$F$4:$F$2662))
+SUMPRODUCT(('Comp.'!$D$5:$D$402=$B85)*('Comp.'!$B$5:$B$402&gt;=G$4)*('Comp.'!$B$5:$B$402&lt;=EOMONTH(G$4,0))*('Comp.'!$E$5:$E$402))</f>
        <v>0</v>
      </c>
      <c r="H85" s="11">
        <f>SUMPRODUCT((Diário!$E$4:$E$2662='Analítico Cp.'!$B85)*(Diário!$C$4:$C$2662&gt;=H$4)*(Diário!$C$4:$C$2662&lt;=EOMONTH(H$4,0))*(Diário!$F$4:$F$2662))
+SUMPRODUCT(('Comp.'!$D$5:$D$402=$B85)*('Comp.'!$B$5:$B$402&gt;=H$4)*('Comp.'!$B$5:$B$402&lt;=EOMONTH(H$4,0))*('Comp.'!$E$5:$E$402))</f>
        <v>214</v>
      </c>
      <c r="I85" s="11">
        <f>SUMPRODUCT((Diário!$E$4:$E$2662='Analítico Cp.'!$B85)*(Diário!$C$4:$C$2662&gt;=I$4)*(Diário!$C$4:$C$2662&lt;=EOMONTH(I$4,0))*(Diário!$F$4:$F$2662))
+SUMPRODUCT(('Comp.'!$D$5:$D$402=$B85)*('Comp.'!$B$5:$B$402&gt;=I$4)*('Comp.'!$B$5:$B$402&lt;=EOMONTH(I$4,0))*('Comp.'!$E$5:$E$402))</f>
        <v>0</v>
      </c>
      <c r="J85" s="11">
        <f>SUMPRODUCT((Diário!$E$4:$E$2662='Analítico Cp.'!$B85)*(Diário!$C$4:$C$2662&gt;=J$4)*(Diário!$C$4:$C$2662&lt;=EOMONTH(J$4,0))*(Diário!$F$4:$F$2662))
+SUMPRODUCT(('Comp.'!$D$5:$D$402=$B85)*('Comp.'!$B$5:$B$402&gt;=J$4)*('Comp.'!$B$5:$B$402&lt;=EOMONTH(J$4,0))*('Comp.'!$E$5:$E$402))</f>
        <v>0</v>
      </c>
      <c r="K85" s="11">
        <f>SUMPRODUCT((Diário!$E$4:$E$2662='Analítico Cp.'!$B85)*(Diário!$C$4:$C$2662&gt;=K$4)*(Diário!$C$4:$C$2662&lt;=EOMONTH(K$4,0))*(Diário!$F$4:$F$2662))
+SUMPRODUCT(('Comp.'!$D$5:$D$402=$B85)*('Comp.'!$B$5:$B$402&gt;=K$4)*('Comp.'!$B$5:$B$402&lt;=EOMONTH(K$4,0))*('Comp.'!$E$5:$E$402))</f>
        <v>0</v>
      </c>
      <c r="L85" s="11">
        <f>SUMPRODUCT((Diário!$E$4:$E$2662='Analítico Cp.'!$B85)*(Diário!$C$4:$C$2662&gt;=L$4)*(Diário!$C$4:$C$2662&lt;=EOMONTH(L$4,0))*(Diário!$F$4:$F$2662))
+SUMPRODUCT(('Comp.'!$D$5:$D$402=$B85)*('Comp.'!$B$5:$B$402&gt;=L$4)*('Comp.'!$B$5:$B$402&lt;=EOMONTH(L$4,0))*('Comp.'!$E$5:$E$402))</f>
        <v>0</v>
      </c>
      <c r="M85" s="11">
        <f>SUMPRODUCT((Diário!$E$4:$E$2662='Analítico Cp.'!$B85)*(Diário!$C$4:$C$2662&gt;=M$4)*(Diário!$C$4:$C$2662&lt;=EOMONTH(M$4,0))*(Diário!$F$4:$F$2662))
+SUMPRODUCT(('Comp.'!$D$5:$D$402=$B85)*('Comp.'!$B$5:$B$402&gt;=M$4)*('Comp.'!$B$5:$B$402&lt;=EOMONTH(M$4,0))*('Comp.'!$E$5:$E$402))</f>
        <v>0</v>
      </c>
      <c r="N85" s="11">
        <f>SUMPRODUCT((Diário!$E$4:$E$2662='Analítico Cp.'!$B85)*(Diário!$C$4:$C$2662&gt;=N$4)*(Diário!$C$4:$C$2662&lt;=EOMONTH(N$4,0))*(Diário!$F$4:$F$2662))
+SUMPRODUCT(('Comp.'!$D$5:$D$402=$B85)*('Comp.'!$B$5:$B$402&gt;=N$4)*('Comp.'!$B$5:$B$402&lt;=EOMONTH(N$4,0))*('Comp.'!$E$5:$E$402))</f>
        <v>0</v>
      </c>
      <c r="O85" s="12">
        <f t="shared" si="14"/>
        <v>26370.3</v>
      </c>
      <c r="P85" s="95">
        <f t="shared" si="13"/>
        <v>1.3206471775980696E-3</v>
      </c>
    </row>
    <row r="86" spans="1:16" ht="23.25" customHeight="1">
      <c r="A86" s="40" t="s">
        <v>137</v>
      </c>
      <c r="B86" s="60" t="s">
        <v>162</v>
      </c>
      <c r="C86" s="11">
        <f>SUMPRODUCT((Diário!$E$4:$E$2662='Analítico Cp.'!$B86)*(Diário!$C$4:$C$2662&gt;=C$4)*(Diário!$C$4:$C$2662&lt;=EOMONTH(C$4,0))*(Diário!$F$4:$F$2662))
+SUMPRODUCT(('Comp.'!$D$5:$D$402=$B86)*('Comp.'!$B$5:$B$402&gt;=C$4)*('Comp.'!$B$5:$B$402&lt;=EOMONTH(C$4,0))*('Comp.'!$E$5:$E$402))</f>
        <v>0</v>
      </c>
      <c r="D86" s="11">
        <f>SUMPRODUCT((Diário!$E$4:$E$2662='Analítico Cp.'!$B86)*(Diário!$C$4:$C$2662&gt;=D$4)*(Diário!$C$4:$C$2662&lt;=EOMONTH(D$4,0))*(Diário!$F$4:$F$2662))
+SUMPRODUCT(('Comp.'!$D$5:$D$402=$B86)*('Comp.'!$B$5:$B$402&gt;=D$4)*('Comp.'!$B$5:$B$402&lt;=EOMONTH(D$4,0))*('Comp.'!$E$5:$E$402))</f>
        <v>0</v>
      </c>
      <c r="E86" s="11">
        <f>SUMPRODUCT((Diário!$E$4:$E$2662='Analítico Cp.'!$B86)*(Diário!$C$4:$C$2662&gt;=E$4)*(Diário!$C$4:$C$2662&lt;=EOMONTH(E$4,0))*(Diário!$F$4:$F$2662))
+SUMPRODUCT(('Comp.'!$D$5:$D$402=$B86)*('Comp.'!$B$5:$B$402&gt;=E$4)*('Comp.'!$B$5:$B$402&lt;=EOMONTH(E$4,0))*('Comp.'!$E$5:$E$402))</f>
        <v>0</v>
      </c>
      <c r="F86" s="11">
        <f>SUMPRODUCT((Diário!$E$4:$E$2662='Analítico Cp.'!$B86)*(Diário!$C$4:$C$2662&gt;=F$4)*(Diário!$C$4:$C$2662&lt;=EOMONTH(F$4,0))*(Diário!$F$4:$F$2662))
+SUMPRODUCT(('Comp.'!$D$5:$D$402=$B86)*('Comp.'!$B$5:$B$402&gt;=F$4)*('Comp.'!$B$5:$B$402&lt;=EOMONTH(F$4,0))*('Comp.'!$E$5:$E$402))</f>
        <v>0</v>
      </c>
      <c r="G86" s="11">
        <f>SUMPRODUCT((Diário!$E$4:$E$2662='Analítico Cp.'!$B86)*(Diário!$C$4:$C$2662&gt;=G$4)*(Diário!$C$4:$C$2662&lt;=EOMONTH(G$4,0))*(Diário!$F$4:$F$2662))
+SUMPRODUCT(('Comp.'!$D$5:$D$402=$B86)*('Comp.'!$B$5:$B$402&gt;=G$4)*('Comp.'!$B$5:$B$402&lt;=EOMONTH(G$4,0))*('Comp.'!$E$5:$E$402))</f>
        <v>0</v>
      </c>
      <c r="H86" s="11">
        <f>SUMPRODUCT((Diário!$E$4:$E$2662='Analítico Cp.'!$B86)*(Diário!$C$4:$C$2662&gt;=H$4)*(Diário!$C$4:$C$2662&lt;=EOMONTH(H$4,0))*(Diário!$F$4:$F$2662))
+SUMPRODUCT(('Comp.'!$D$5:$D$402=$B86)*('Comp.'!$B$5:$B$402&gt;=H$4)*('Comp.'!$B$5:$B$402&lt;=EOMONTH(H$4,0))*('Comp.'!$E$5:$E$402))</f>
        <v>0</v>
      </c>
      <c r="I86" s="11">
        <f>SUMPRODUCT((Diário!$E$4:$E$2662='Analítico Cp.'!$B86)*(Diário!$C$4:$C$2662&gt;=I$4)*(Diário!$C$4:$C$2662&lt;=EOMONTH(I$4,0))*(Diário!$F$4:$F$2662))
+SUMPRODUCT(('Comp.'!$D$5:$D$402=$B86)*('Comp.'!$B$5:$B$402&gt;=I$4)*('Comp.'!$B$5:$B$402&lt;=EOMONTH(I$4,0))*('Comp.'!$E$5:$E$402))</f>
        <v>0</v>
      </c>
      <c r="J86" s="11">
        <f>SUMPRODUCT((Diário!$E$4:$E$2662='Analítico Cp.'!$B86)*(Diário!$C$4:$C$2662&gt;=J$4)*(Diário!$C$4:$C$2662&lt;=EOMONTH(J$4,0))*(Diário!$F$4:$F$2662))
+SUMPRODUCT(('Comp.'!$D$5:$D$402=$B86)*('Comp.'!$B$5:$B$402&gt;=J$4)*('Comp.'!$B$5:$B$402&lt;=EOMONTH(J$4,0))*('Comp.'!$E$5:$E$402))</f>
        <v>0</v>
      </c>
      <c r="K86" s="11">
        <f>SUMPRODUCT((Diário!$E$4:$E$2662='Analítico Cp.'!$B86)*(Diário!$C$4:$C$2662&gt;=K$4)*(Diário!$C$4:$C$2662&lt;=EOMONTH(K$4,0))*(Diário!$F$4:$F$2662))
+SUMPRODUCT(('Comp.'!$D$5:$D$402=$B86)*('Comp.'!$B$5:$B$402&gt;=K$4)*('Comp.'!$B$5:$B$402&lt;=EOMONTH(K$4,0))*('Comp.'!$E$5:$E$402))</f>
        <v>0</v>
      </c>
      <c r="L86" s="11">
        <f>SUMPRODUCT((Diário!$E$4:$E$2662='Analítico Cp.'!$B86)*(Diário!$C$4:$C$2662&gt;=L$4)*(Diário!$C$4:$C$2662&lt;=EOMONTH(L$4,0))*(Diário!$F$4:$F$2662))
+SUMPRODUCT(('Comp.'!$D$5:$D$402=$B86)*('Comp.'!$B$5:$B$402&gt;=L$4)*('Comp.'!$B$5:$B$402&lt;=EOMONTH(L$4,0))*('Comp.'!$E$5:$E$402))</f>
        <v>0</v>
      </c>
      <c r="M86" s="11">
        <f>SUMPRODUCT((Diário!$E$4:$E$2662='Analítico Cp.'!$B86)*(Diário!$C$4:$C$2662&gt;=M$4)*(Diário!$C$4:$C$2662&lt;=EOMONTH(M$4,0))*(Diário!$F$4:$F$2662))
+SUMPRODUCT(('Comp.'!$D$5:$D$402=$B86)*('Comp.'!$B$5:$B$402&gt;=M$4)*('Comp.'!$B$5:$B$402&lt;=EOMONTH(M$4,0))*('Comp.'!$E$5:$E$402))</f>
        <v>0</v>
      </c>
      <c r="N86" s="11">
        <f>SUMPRODUCT((Diário!$E$4:$E$2662='Analítico Cp.'!$B86)*(Diário!$C$4:$C$2662&gt;=N$4)*(Diário!$C$4:$C$2662&lt;=EOMONTH(N$4,0))*(Diário!$F$4:$F$2662))
+SUMPRODUCT(('Comp.'!$D$5:$D$402=$B86)*('Comp.'!$B$5:$B$402&gt;=N$4)*('Comp.'!$B$5:$B$402&lt;=EOMONTH(N$4,0))*('Comp.'!$E$5:$E$402))</f>
        <v>0</v>
      </c>
      <c r="O86" s="12">
        <f t="shared" si="14"/>
        <v>0</v>
      </c>
      <c r="P86" s="95">
        <f t="shared" si="13"/>
        <v>0</v>
      </c>
    </row>
    <row r="87" spans="1:16" ht="23.25" customHeight="1">
      <c r="A87" s="40" t="s">
        <v>138</v>
      </c>
      <c r="B87" s="60" t="s">
        <v>54</v>
      </c>
      <c r="C87" s="11">
        <f>SUMPRODUCT((Diário!$E$4:$E$2662='Analítico Cp.'!$B87)*(Diário!$C$4:$C$2662&gt;=C$4)*(Diário!$C$4:$C$2662&lt;=EOMONTH(C$4,0))*(Diário!$F$4:$F$2662))
+SUMPRODUCT(('Comp.'!$D$5:$D$402=$B87)*('Comp.'!$B$5:$B$402&gt;=C$4)*('Comp.'!$B$5:$B$402&lt;=EOMONTH(C$4,0))*('Comp.'!$E$5:$E$402))</f>
        <v>4226.7700000000004</v>
      </c>
      <c r="D87" s="11">
        <f>SUMPRODUCT((Diário!$E$4:$E$2662='Analítico Cp.'!$B87)*(Diário!$C$4:$C$2662&gt;=D$4)*(Diário!$C$4:$C$2662&lt;=EOMONTH(D$4,0))*(Diário!$F$4:$F$2662))
+SUMPRODUCT(('Comp.'!$D$5:$D$402=$B87)*('Comp.'!$B$5:$B$402&gt;=D$4)*('Comp.'!$B$5:$B$402&lt;=EOMONTH(D$4,0))*('Comp.'!$E$5:$E$402))</f>
        <v>883.99</v>
      </c>
      <c r="E87" s="11">
        <f>SUMPRODUCT((Diário!$E$4:$E$2662='Analítico Cp.'!$B87)*(Diário!$C$4:$C$2662&gt;=E$4)*(Diário!$C$4:$C$2662&lt;=EOMONTH(E$4,0))*(Diário!$F$4:$F$2662))
+SUMPRODUCT(('Comp.'!$D$5:$D$402=$B87)*('Comp.'!$B$5:$B$402&gt;=E$4)*('Comp.'!$B$5:$B$402&lt;=EOMONTH(E$4,0))*('Comp.'!$E$5:$E$402))</f>
        <v>3440.31</v>
      </c>
      <c r="F87" s="11">
        <f>SUMPRODUCT((Diário!$E$4:$E$2662='Analítico Cp.'!$B87)*(Diário!$C$4:$C$2662&gt;=F$4)*(Diário!$C$4:$C$2662&lt;=EOMONTH(F$4,0))*(Diário!$F$4:$F$2662))
+SUMPRODUCT(('Comp.'!$D$5:$D$402=$B87)*('Comp.'!$B$5:$B$402&gt;=F$4)*('Comp.'!$B$5:$B$402&lt;=EOMONTH(F$4,0))*('Comp.'!$E$5:$E$402))</f>
        <v>1442.64</v>
      </c>
      <c r="G87" s="11">
        <f>SUMPRODUCT((Diário!$E$4:$E$2662='Analítico Cp.'!$B87)*(Diário!$C$4:$C$2662&gt;=G$4)*(Diário!$C$4:$C$2662&lt;=EOMONTH(G$4,0))*(Diário!$F$4:$F$2662))
+SUMPRODUCT(('Comp.'!$D$5:$D$402=$B87)*('Comp.'!$B$5:$B$402&gt;=G$4)*('Comp.'!$B$5:$B$402&lt;=EOMONTH(G$4,0))*('Comp.'!$E$5:$E$402))</f>
        <v>0</v>
      </c>
      <c r="H87" s="11">
        <f>SUMPRODUCT((Diário!$E$4:$E$2662='Analítico Cp.'!$B87)*(Diário!$C$4:$C$2662&gt;=H$4)*(Diário!$C$4:$C$2662&lt;=EOMONTH(H$4,0))*(Diário!$F$4:$F$2662))
+SUMPRODUCT(('Comp.'!$D$5:$D$402=$B87)*('Comp.'!$B$5:$B$402&gt;=H$4)*('Comp.'!$B$5:$B$402&lt;=EOMONTH(H$4,0))*('Comp.'!$E$5:$E$402))</f>
        <v>69.55</v>
      </c>
      <c r="I87" s="11">
        <f>SUMPRODUCT((Diário!$E$4:$E$2662='Analítico Cp.'!$B87)*(Diário!$C$4:$C$2662&gt;=I$4)*(Diário!$C$4:$C$2662&lt;=EOMONTH(I$4,0))*(Diário!$F$4:$F$2662))
+SUMPRODUCT(('Comp.'!$D$5:$D$402=$B87)*('Comp.'!$B$5:$B$402&gt;=I$4)*('Comp.'!$B$5:$B$402&lt;=EOMONTH(I$4,0))*('Comp.'!$E$5:$E$402))</f>
        <v>0</v>
      </c>
      <c r="J87" s="11">
        <f>SUMPRODUCT((Diário!$E$4:$E$2662='Analítico Cp.'!$B87)*(Diário!$C$4:$C$2662&gt;=J$4)*(Diário!$C$4:$C$2662&lt;=EOMONTH(J$4,0))*(Diário!$F$4:$F$2662))
+SUMPRODUCT(('Comp.'!$D$5:$D$402=$B87)*('Comp.'!$B$5:$B$402&gt;=J$4)*('Comp.'!$B$5:$B$402&lt;=EOMONTH(J$4,0))*('Comp.'!$E$5:$E$402))</f>
        <v>0</v>
      </c>
      <c r="K87" s="11">
        <f>SUMPRODUCT((Diário!$E$4:$E$2662='Analítico Cp.'!$B87)*(Diário!$C$4:$C$2662&gt;=K$4)*(Diário!$C$4:$C$2662&lt;=EOMONTH(K$4,0))*(Diário!$F$4:$F$2662))
+SUMPRODUCT(('Comp.'!$D$5:$D$402=$B87)*('Comp.'!$B$5:$B$402&gt;=K$4)*('Comp.'!$B$5:$B$402&lt;=EOMONTH(K$4,0))*('Comp.'!$E$5:$E$402))</f>
        <v>0</v>
      </c>
      <c r="L87" s="11">
        <f>SUMPRODUCT((Diário!$E$4:$E$2662='Analítico Cp.'!$B87)*(Diário!$C$4:$C$2662&gt;=L$4)*(Diário!$C$4:$C$2662&lt;=EOMONTH(L$4,0))*(Diário!$F$4:$F$2662))
+SUMPRODUCT(('Comp.'!$D$5:$D$402=$B87)*('Comp.'!$B$5:$B$402&gt;=L$4)*('Comp.'!$B$5:$B$402&lt;=EOMONTH(L$4,0))*('Comp.'!$E$5:$E$402))</f>
        <v>0</v>
      </c>
      <c r="M87" s="11">
        <f>SUMPRODUCT((Diário!$E$4:$E$2662='Analítico Cp.'!$B87)*(Diário!$C$4:$C$2662&gt;=M$4)*(Diário!$C$4:$C$2662&lt;=EOMONTH(M$4,0))*(Diário!$F$4:$F$2662))
+SUMPRODUCT(('Comp.'!$D$5:$D$402=$B87)*('Comp.'!$B$5:$B$402&gt;=M$4)*('Comp.'!$B$5:$B$402&lt;=EOMONTH(M$4,0))*('Comp.'!$E$5:$E$402))</f>
        <v>0</v>
      </c>
      <c r="N87" s="11">
        <f>SUMPRODUCT((Diário!$E$4:$E$2662='Analítico Cp.'!$B87)*(Diário!$C$4:$C$2662&gt;=N$4)*(Diário!$C$4:$C$2662&lt;=EOMONTH(N$4,0))*(Diário!$F$4:$F$2662))
+SUMPRODUCT(('Comp.'!$D$5:$D$402=$B87)*('Comp.'!$B$5:$B$402&gt;=N$4)*('Comp.'!$B$5:$B$402&lt;=EOMONTH(N$4,0))*('Comp.'!$E$5:$E$402))</f>
        <v>0</v>
      </c>
      <c r="O87" s="12">
        <f t="shared" si="14"/>
        <v>10063.259999999998</v>
      </c>
      <c r="P87" s="95">
        <f t="shared" si="13"/>
        <v>5.0397666755537659E-4</v>
      </c>
    </row>
    <row r="88" spans="1:16" ht="23.25" customHeight="1">
      <c r="A88" s="40" t="s">
        <v>139</v>
      </c>
      <c r="B88" s="60" t="s">
        <v>53</v>
      </c>
      <c r="C88" s="11">
        <f>SUMPRODUCT((Diário!$E$4:$E$2662='Analítico Cp.'!$B88)*(Diário!$C$4:$C$2662&gt;=C$4)*(Diário!$C$4:$C$2662&lt;=EOMONTH(C$4,0))*(Diário!$F$4:$F$2662))
+SUMPRODUCT(('Comp.'!$D$5:$D$402=$B88)*('Comp.'!$B$5:$B$402&gt;=C$4)*('Comp.'!$B$5:$B$402&lt;=EOMONTH(C$4,0))*('Comp.'!$E$5:$E$402))</f>
        <v>221.8</v>
      </c>
      <c r="D88" s="11">
        <f>SUMPRODUCT((Diário!$E$4:$E$2662='Analítico Cp.'!$B88)*(Diário!$C$4:$C$2662&gt;=D$4)*(Diário!$C$4:$C$2662&lt;=EOMONTH(D$4,0))*(Diário!$F$4:$F$2662))
+SUMPRODUCT(('Comp.'!$D$5:$D$402=$B88)*('Comp.'!$B$5:$B$402&gt;=D$4)*('Comp.'!$B$5:$B$402&lt;=EOMONTH(D$4,0))*('Comp.'!$E$5:$E$402))</f>
        <v>69.66</v>
      </c>
      <c r="E88" s="11">
        <f>SUMPRODUCT((Diário!$E$4:$E$2662='Analítico Cp.'!$B88)*(Diário!$C$4:$C$2662&gt;=E$4)*(Diário!$C$4:$C$2662&lt;=EOMONTH(E$4,0))*(Diário!$F$4:$F$2662))
+SUMPRODUCT(('Comp.'!$D$5:$D$402=$B88)*('Comp.'!$B$5:$B$402&gt;=E$4)*('Comp.'!$B$5:$B$402&lt;=EOMONTH(E$4,0))*('Comp.'!$E$5:$E$402))</f>
        <v>1486.08</v>
      </c>
      <c r="F88" s="11">
        <f>SUMPRODUCT((Diário!$E$4:$E$2662='Analítico Cp.'!$B88)*(Diário!$C$4:$C$2662&gt;=F$4)*(Diário!$C$4:$C$2662&lt;=EOMONTH(F$4,0))*(Diário!$F$4:$F$2662))
+SUMPRODUCT(('Comp.'!$D$5:$D$402=$B88)*('Comp.'!$B$5:$B$402&gt;=F$4)*('Comp.'!$B$5:$B$402&lt;=EOMONTH(F$4,0))*('Comp.'!$E$5:$E$402))</f>
        <v>3115.5299999999997</v>
      </c>
      <c r="G88" s="11">
        <f>SUMPRODUCT((Diário!$E$4:$E$2662='Analítico Cp.'!$B88)*(Diário!$C$4:$C$2662&gt;=G$4)*(Diário!$C$4:$C$2662&lt;=EOMONTH(G$4,0))*(Diário!$F$4:$F$2662))
+SUMPRODUCT(('Comp.'!$D$5:$D$402=$B88)*('Comp.'!$B$5:$B$402&gt;=G$4)*('Comp.'!$B$5:$B$402&lt;=EOMONTH(G$4,0))*('Comp.'!$E$5:$E$402))</f>
        <v>0</v>
      </c>
      <c r="H88" s="11">
        <f>SUMPRODUCT((Diário!$E$4:$E$2662='Analítico Cp.'!$B88)*(Diário!$C$4:$C$2662&gt;=H$4)*(Diário!$C$4:$C$2662&lt;=EOMONTH(H$4,0))*(Diário!$F$4:$F$2662))
+SUMPRODUCT(('Comp.'!$D$5:$D$402=$B88)*('Comp.'!$B$5:$B$402&gt;=H$4)*('Comp.'!$B$5:$B$402&lt;=EOMONTH(H$4,0))*('Comp.'!$E$5:$E$402))</f>
        <v>0</v>
      </c>
      <c r="I88" s="11">
        <f>SUMPRODUCT((Diário!$E$4:$E$2662='Analítico Cp.'!$B88)*(Diário!$C$4:$C$2662&gt;=I$4)*(Diário!$C$4:$C$2662&lt;=EOMONTH(I$4,0))*(Diário!$F$4:$F$2662))
+SUMPRODUCT(('Comp.'!$D$5:$D$402=$B88)*('Comp.'!$B$5:$B$402&gt;=I$4)*('Comp.'!$B$5:$B$402&lt;=EOMONTH(I$4,0))*('Comp.'!$E$5:$E$402))</f>
        <v>0</v>
      </c>
      <c r="J88" s="11">
        <f>SUMPRODUCT((Diário!$E$4:$E$2662='Analítico Cp.'!$B88)*(Diário!$C$4:$C$2662&gt;=J$4)*(Diário!$C$4:$C$2662&lt;=EOMONTH(J$4,0))*(Diário!$F$4:$F$2662))
+SUMPRODUCT(('Comp.'!$D$5:$D$402=$B88)*('Comp.'!$B$5:$B$402&gt;=J$4)*('Comp.'!$B$5:$B$402&lt;=EOMONTH(J$4,0))*('Comp.'!$E$5:$E$402))</f>
        <v>0</v>
      </c>
      <c r="K88" s="11">
        <f>SUMPRODUCT((Diário!$E$4:$E$2662='Analítico Cp.'!$B88)*(Diário!$C$4:$C$2662&gt;=K$4)*(Diário!$C$4:$C$2662&lt;=EOMONTH(K$4,0))*(Diário!$F$4:$F$2662))
+SUMPRODUCT(('Comp.'!$D$5:$D$402=$B88)*('Comp.'!$B$5:$B$402&gt;=K$4)*('Comp.'!$B$5:$B$402&lt;=EOMONTH(K$4,0))*('Comp.'!$E$5:$E$402))</f>
        <v>0</v>
      </c>
      <c r="L88" s="11">
        <f>SUMPRODUCT((Diário!$E$4:$E$2662='Analítico Cp.'!$B88)*(Diário!$C$4:$C$2662&gt;=L$4)*(Diário!$C$4:$C$2662&lt;=EOMONTH(L$4,0))*(Diário!$F$4:$F$2662))
+SUMPRODUCT(('Comp.'!$D$5:$D$402=$B88)*('Comp.'!$B$5:$B$402&gt;=L$4)*('Comp.'!$B$5:$B$402&lt;=EOMONTH(L$4,0))*('Comp.'!$E$5:$E$402))</f>
        <v>0</v>
      </c>
      <c r="M88" s="11">
        <f>SUMPRODUCT((Diário!$E$4:$E$2662='Analítico Cp.'!$B88)*(Diário!$C$4:$C$2662&gt;=M$4)*(Diário!$C$4:$C$2662&lt;=EOMONTH(M$4,0))*(Diário!$F$4:$F$2662))
+SUMPRODUCT(('Comp.'!$D$5:$D$402=$B88)*('Comp.'!$B$5:$B$402&gt;=M$4)*('Comp.'!$B$5:$B$402&lt;=EOMONTH(M$4,0))*('Comp.'!$E$5:$E$402))</f>
        <v>0</v>
      </c>
      <c r="N88" s="11">
        <f>SUMPRODUCT((Diário!$E$4:$E$2662='Analítico Cp.'!$B88)*(Diário!$C$4:$C$2662&gt;=N$4)*(Diário!$C$4:$C$2662&lt;=EOMONTH(N$4,0))*(Diário!$F$4:$F$2662))
+SUMPRODUCT(('Comp.'!$D$5:$D$402=$B88)*('Comp.'!$B$5:$B$402&gt;=N$4)*('Comp.'!$B$5:$B$402&lt;=EOMONTH(N$4,0))*('Comp.'!$E$5:$E$402))</f>
        <v>0</v>
      </c>
      <c r="O88" s="12">
        <f t="shared" si="14"/>
        <v>4893.07</v>
      </c>
      <c r="P88" s="95">
        <f t="shared" si="13"/>
        <v>2.4504913047215186E-4</v>
      </c>
    </row>
    <row r="89" spans="1:16" ht="23.25" customHeight="1">
      <c r="A89" s="40" t="s">
        <v>140</v>
      </c>
      <c r="B89" s="60" t="s">
        <v>63</v>
      </c>
      <c r="C89" s="11">
        <f>SUMPRODUCT((Diário!$E$4:$E$2662='Analítico Cp.'!$B89)*(Diário!$C$4:$C$2662&gt;=C$4)*(Diário!$C$4:$C$2662&lt;=EOMONTH(C$4,0))*(Diário!$F$4:$F$2662))
+SUMPRODUCT(('Comp.'!$D$5:$D$402=$B89)*('Comp.'!$B$5:$B$402&gt;=C$4)*('Comp.'!$B$5:$B$402&lt;=EOMONTH(C$4,0))*('Comp.'!$E$5:$E$402))</f>
        <v>0</v>
      </c>
      <c r="D89" s="11">
        <f>SUMPRODUCT((Diário!$E$4:$E$2662='Analítico Cp.'!$B89)*(Diário!$C$4:$C$2662&gt;=D$4)*(Diário!$C$4:$C$2662&lt;=EOMONTH(D$4,0))*(Diário!$F$4:$F$2662))
+SUMPRODUCT(('Comp.'!$D$5:$D$402=$B89)*('Comp.'!$B$5:$B$402&gt;=D$4)*('Comp.'!$B$5:$B$402&lt;=EOMONTH(D$4,0))*('Comp.'!$E$5:$E$402))</f>
        <v>0</v>
      </c>
      <c r="E89" s="11">
        <f>SUMPRODUCT((Diário!$E$4:$E$2662='Analítico Cp.'!$B89)*(Diário!$C$4:$C$2662&gt;=E$4)*(Diário!$C$4:$C$2662&lt;=EOMONTH(E$4,0))*(Diário!$F$4:$F$2662))
+SUMPRODUCT(('Comp.'!$D$5:$D$402=$B89)*('Comp.'!$B$5:$B$402&gt;=E$4)*('Comp.'!$B$5:$B$402&lt;=EOMONTH(E$4,0))*('Comp.'!$E$5:$E$402))</f>
        <v>0</v>
      </c>
      <c r="F89" s="11">
        <f>SUMPRODUCT((Diário!$E$4:$E$2662='Analítico Cp.'!$B89)*(Diário!$C$4:$C$2662&gt;=F$4)*(Diário!$C$4:$C$2662&lt;=EOMONTH(F$4,0))*(Diário!$F$4:$F$2662))
+SUMPRODUCT(('Comp.'!$D$5:$D$402=$B89)*('Comp.'!$B$5:$B$402&gt;=F$4)*('Comp.'!$B$5:$B$402&lt;=EOMONTH(F$4,0))*('Comp.'!$E$5:$E$402))</f>
        <v>0</v>
      </c>
      <c r="G89" s="11">
        <f>SUMPRODUCT((Diário!$E$4:$E$2662='Analítico Cp.'!$B89)*(Diário!$C$4:$C$2662&gt;=G$4)*(Diário!$C$4:$C$2662&lt;=EOMONTH(G$4,0))*(Diário!$F$4:$F$2662))
+SUMPRODUCT(('Comp.'!$D$5:$D$402=$B89)*('Comp.'!$B$5:$B$402&gt;=G$4)*('Comp.'!$B$5:$B$402&lt;=EOMONTH(G$4,0))*('Comp.'!$E$5:$E$402))</f>
        <v>0</v>
      </c>
      <c r="H89" s="11">
        <f>SUMPRODUCT((Diário!$E$4:$E$2662='Analítico Cp.'!$B89)*(Diário!$C$4:$C$2662&gt;=H$4)*(Diário!$C$4:$C$2662&lt;=EOMONTH(H$4,0))*(Diário!$F$4:$F$2662))
+SUMPRODUCT(('Comp.'!$D$5:$D$402=$B89)*('Comp.'!$B$5:$B$402&gt;=H$4)*('Comp.'!$B$5:$B$402&lt;=EOMONTH(H$4,0))*('Comp.'!$E$5:$E$402))</f>
        <v>0</v>
      </c>
      <c r="I89" s="11">
        <f>SUMPRODUCT((Diário!$E$4:$E$2662='Analítico Cp.'!$B89)*(Diário!$C$4:$C$2662&gt;=I$4)*(Diário!$C$4:$C$2662&lt;=EOMONTH(I$4,0))*(Diário!$F$4:$F$2662))
+SUMPRODUCT(('Comp.'!$D$5:$D$402=$B89)*('Comp.'!$B$5:$B$402&gt;=I$4)*('Comp.'!$B$5:$B$402&lt;=EOMONTH(I$4,0))*('Comp.'!$E$5:$E$402))</f>
        <v>0</v>
      </c>
      <c r="J89" s="11">
        <f>SUMPRODUCT((Diário!$E$4:$E$2662='Analítico Cp.'!$B89)*(Diário!$C$4:$C$2662&gt;=J$4)*(Diário!$C$4:$C$2662&lt;=EOMONTH(J$4,0))*(Diário!$F$4:$F$2662))
+SUMPRODUCT(('Comp.'!$D$5:$D$402=$B89)*('Comp.'!$B$5:$B$402&gt;=J$4)*('Comp.'!$B$5:$B$402&lt;=EOMONTH(J$4,0))*('Comp.'!$E$5:$E$402))</f>
        <v>0</v>
      </c>
      <c r="K89" s="11">
        <f>SUMPRODUCT((Diário!$E$4:$E$2662='Analítico Cp.'!$B89)*(Diário!$C$4:$C$2662&gt;=K$4)*(Diário!$C$4:$C$2662&lt;=EOMONTH(K$4,0))*(Diário!$F$4:$F$2662))
+SUMPRODUCT(('Comp.'!$D$5:$D$402=$B89)*('Comp.'!$B$5:$B$402&gt;=K$4)*('Comp.'!$B$5:$B$402&lt;=EOMONTH(K$4,0))*('Comp.'!$E$5:$E$402))</f>
        <v>0</v>
      </c>
      <c r="L89" s="11">
        <f>SUMPRODUCT((Diário!$E$4:$E$2662='Analítico Cp.'!$B89)*(Diário!$C$4:$C$2662&gt;=L$4)*(Diário!$C$4:$C$2662&lt;=EOMONTH(L$4,0))*(Diário!$F$4:$F$2662))
+SUMPRODUCT(('Comp.'!$D$5:$D$402=$B89)*('Comp.'!$B$5:$B$402&gt;=L$4)*('Comp.'!$B$5:$B$402&lt;=EOMONTH(L$4,0))*('Comp.'!$E$5:$E$402))</f>
        <v>0</v>
      </c>
      <c r="M89" s="11">
        <f>SUMPRODUCT((Diário!$E$4:$E$2662='Analítico Cp.'!$B89)*(Diário!$C$4:$C$2662&gt;=M$4)*(Diário!$C$4:$C$2662&lt;=EOMONTH(M$4,0))*(Diário!$F$4:$F$2662))
+SUMPRODUCT(('Comp.'!$D$5:$D$402=$B89)*('Comp.'!$B$5:$B$402&gt;=M$4)*('Comp.'!$B$5:$B$402&lt;=EOMONTH(M$4,0))*('Comp.'!$E$5:$E$402))</f>
        <v>0</v>
      </c>
      <c r="N89" s="11">
        <f>SUMPRODUCT((Diário!$E$4:$E$2662='Analítico Cp.'!$B89)*(Diário!$C$4:$C$2662&gt;=N$4)*(Diário!$C$4:$C$2662&lt;=EOMONTH(N$4,0))*(Diário!$F$4:$F$2662))
+SUMPRODUCT(('Comp.'!$D$5:$D$402=$B89)*('Comp.'!$B$5:$B$402&gt;=N$4)*('Comp.'!$B$5:$B$402&lt;=EOMONTH(N$4,0))*('Comp.'!$E$5:$E$402))</f>
        <v>0</v>
      </c>
      <c r="O89" s="12">
        <f t="shared" si="14"/>
        <v>0</v>
      </c>
      <c r="P89" s="95">
        <f t="shared" ref="P89:P115" si="15">IF($O$189=0,0,O89/$O$189)</f>
        <v>0</v>
      </c>
    </row>
    <row r="90" spans="1:16" ht="23.25" customHeight="1">
      <c r="A90" s="40" t="s">
        <v>141</v>
      </c>
      <c r="B90" s="60" t="s">
        <v>61</v>
      </c>
      <c r="C90" s="11">
        <f>SUMPRODUCT((Diário!$E$4:$E$2662='Analítico Cp.'!$B90)*(Diário!$C$4:$C$2662&gt;=C$4)*(Diário!$C$4:$C$2662&lt;=EOMONTH(C$4,0))*(Diário!$F$4:$F$2662))
+SUMPRODUCT(('Comp.'!$D$5:$D$402=$B90)*('Comp.'!$B$5:$B$402&gt;=C$4)*('Comp.'!$B$5:$B$402&lt;=EOMONTH(C$4,0))*('Comp.'!$E$5:$E$402))</f>
        <v>100</v>
      </c>
      <c r="D90" s="11">
        <f>SUMPRODUCT((Diário!$E$4:$E$2662='Analítico Cp.'!$B90)*(Diário!$C$4:$C$2662&gt;=D$4)*(Diário!$C$4:$C$2662&lt;=EOMONTH(D$4,0))*(Diário!$F$4:$F$2662))
+SUMPRODUCT(('Comp.'!$D$5:$D$402=$B90)*('Comp.'!$B$5:$B$402&gt;=D$4)*('Comp.'!$B$5:$B$402&lt;=EOMONTH(D$4,0))*('Comp.'!$E$5:$E$402))</f>
        <v>0</v>
      </c>
      <c r="E90" s="11">
        <f>SUMPRODUCT((Diário!$E$4:$E$2662='Analítico Cp.'!$B90)*(Diário!$C$4:$C$2662&gt;=E$4)*(Diário!$C$4:$C$2662&lt;=EOMONTH(E$4,0))*(Diário!$F$4:$F$2662))
+SUMPRODUCT(('Comp.'!$D$5:$D$402=$B90)*('Comp.'!$B$5:$B$402&gt;=E$4)*('Comp.'!$B$5:$B$402&lt;=EOMONTH(E$4,0))*('Comp.'!$E$5:$E$402))</f>
        <v>0</v>
      </c>
      <c r="F90" s="11">
        <f>SUMPRODUCT((Diário!$E$4:$E$2662='Analítico Cp.'!$B90)*(Diário!$C$4:$C$2662&gt;=F$4)*(Diário!$C$4:$C$2662&lt;=EOMONTH(F$4,0))*(Diário!$F$4:$F$2662))
+SUMPRODUCT(('Comp.'!$D$5:$D$402=$B90)*('Comp.'!$B$5:$B$402&gt;=F$4)*('Comp.'!$B$5:$B$402&lt;=EOMONTH(F$4,0))*('Comp.'!$E$5:$E$402))</f>
        <v>3883.51</v>
      </c>
      <c r="G90" s="11">
        <f>SUMPRODUCT((Diário!$E$4:$E$2662='Analítico Cp.'!$B90)*(Diário!$C$4:$C$2662&gt;=G$4)*(Diário!$C$4:$C$2662&lt;=EOMONTH(G$4,0))*(Diário!$F$4:$F$2662))
+SUMPRODUCT(('Comp.'!$D$5:$D$402=$B90)*('Comp.'!$B$5:$B$402&gt;=G$4)*('Comp.'!$B$5:$B$402&lt;=EOMONTH(G$4,0))*('Comp.'!$E$5:$E$402))</f>
        <v>0</v>
      </c>
      <c r="H90" s="11">
        <f>SUMPRODUCT((Diário!$E$4:$E$2662='Analítico Cp.'!$B90)*(Diário!$C$4:$C$2662&gt;=H$4)*(Diário!$C$4:$C$2662&lt;=EOMONTH(H$4,0))*(Diário!$F$4:$F$2662))
+SUMPRODUCT(('Comp.'!$D$5:$D$402=$B90)*('Comp.'!$B$5:$B$402&gt;=H$4)*('Comp.'!$B$5:$B$402&lt;=EOMONTH(H$4,0))*('Comp.'!$E$5:$E$402))</f>
        <v>300</v>
      </c>
      <c r="I90" s="11">
        <f>SUMPRODUCT((Diário!$E$4:$E$2662='Analítico Cp.'!$B90)*(Diário!$C$4:$C$2662&gt;=I$4)*(Diário!$C$4:$C$2662&lt;=EOMONTH(I$4,0))*(Diário!$F$4:$F$2662))
+SUMPRODUCT(('Comp.'!$D$5:$D$402=$B90)*('Comp.'!$B$5:$B$402&gt;=I$4)*('Comp.'!$B$5:$B$402&lt;=EOMONTH(I$4,0))*('Comp.'!$E$5:$E$402))</f>
        <v>0</v>
      </c>
      <c r="J90" s="11">
        <f>SUMPRODUCT((Diário!$E$4:$E$2662='Analítico Cp.'!$B90)*(Diário!$C$4:$C$2662&gt;=J$4)*(Diário!$C$4:$C$2662&lt;=EOMONTH(J$4,0))*(Diário!$F$4:$F$2662))
+SUMPRODUCT(('Comp.'!$D$5:$D$402=$B90)*('Comp.'!$B$5:$B$402&gt;=J$4)*('Comp.'!$B$5:$B$402&lt;=EOMONTH(J$4,0))*('Comp.'!$E$5:$E$402))</f>
        <v>0</v>
      </c>
      <c r="K90" s="11">
        <f>SUMPRODUCT((Diário!$E$4:$E$2662='Analítico Cp.'!$B90)*(Diário!$C$4:$C$2662&gt;=K$4)*(Diário!$C$4:$C$2662&lt;=EOMONTH(K$4,0))*(Diário!$F$4:$F$2662))
+SUMPRODUCT(('Comp.'!$D$5:$D$402=$B90)*('Comp.'!$B$5:$B$402&gt;=K$4)*('Comp.'!$B$5:$B$402&lt;=EOMONTH(K$4,0))*('Comp.'!$E$5:$E$402))</f>
        <v>0</v>
      </c>
      <c r="L90" s="11">
        <f>SUMPRODUCT((Diário!$E$4:$E$2662='Analítico Cp.'!$B90)*(Diário!$C$4:$C$2662&gt;=L$4)*(Diário!$C$4:$C$2662&lt;=EOMONTH(L$4,0))*(Diário!$F$4:$F$2662))
+SUMPRODUCT(('Comp.'!$D$5:$D$402=$B90)*('Comp.'!$B$5:$B$402&gt;=L$4)*('Comp.'!$B$5:$B$402&lt;=EOMONTH(L$4,0))*('Comp.'!$E$5:$E$402))</f>
        <v>0</v>
      </c>
      <c r="M90" s="11">
        <f>SUMPRODUCT((Diário!$E$4:$E$2662='Analítico Cp.'!$B90)*(Diário!$C$4:$C$2662&gt;=M$4)*(Diário!$C$4:$C$2662&lt;=EOMONTH(M$4,0))*(Diário!$F$4:$F$2662))
+SUMPRODUCT(('Comp.'!$D$5:$D$402=$B90)*('Comp.'!$B$5:$B$402&gt;=M$4)*('Comp.'!$B$5:$B$402&lt;=EOMONTH(M$4,0))*('Comp.'!$E$5:$E$402))</f>
        <v>0</v>
      </c>
      <c r="N90" s="11">
        <f>SUMPRODUCT((Diário!$E$4:$E$2662='Analítico Cp.'!$B90)*(Diário!$C$4:$C$2662&gt;=N$4)*(Diário!$C$4:$C$2662&lt;=EOMONTH(N$4,0))*(Diário!$F$4:$F$2662))
+SUMPRODUCT(('Comp.'!$D$5:$D$402=$B90)*('Comp.'!$B$5:$B$402&gt;=N$4)*('Comp.'!$B$5:$B$402&lt;=EOMONTH(N$4,0))*('Comp.'!$E$5:$E$402))</f>
        <v>0</v>
      </c>
      <c r="O90" s="12">
        <f t="shared" si="14"/>
        <v>4283.51</v>
      </c>
      <c r="P90" s="95">
        <f t="shared" si="15"/>
        <v>2.1452184433673894E-4</v>
      </c>
    </row>
    <row r="91" spans="1:16" ht="23.25" customHeight="1">
      <c r="A91" s="40" t="s">
        <v>175</v>
      </c>
      <c r="B91" s="60" t="s">
        <v>60</v>
      </c>
      <c r="C91" s="11">
        <f>SUMPRODUCT((Diário!$E$4:$E$2662='Analítico Cp.'!$B91)*(Diário!$C$4:$C$2662&gt;=C$4)*(Diário!$C$4:$C$2662&lt;=EOMONTH(C$4,0))*(Diário!$F$4:$F$2662))
+SUMPRODUCT(('Comp.'!$D$5:$D$402=$B91)*('Comp.'!$B$5:$B$402&gt;=C$4)*('Comp.'!$B$5:$B$402&lt;=EOMONTH(C$4,0))*('Comp.'!$E$5:$E$402))</f>
        <v>0</v>
      </c>
      <c r="D91" s="11">
        <f>SUMPRODUCT((Diário!$E$4:$E$2662='Analítico Cp.'!$B91)*(Diário!$C$4:$C$2662&gt;=D$4)*(Diário!$C$4:$C$2662&lt;=EOMONTH(D$4,0))*(Diário!$F$4:$F$2662))
+SUMPRODUCT(('Comp.'!$D$5:$D$402=$B91)*('Comp.'!$B$5:$B$402&gt;=D$4)*('Comp.'!$B$5:$B$402&lt;=EOMONTH(D$4,0))*('Comp.'!$E$5:$E$402))</f>
        <v>0</v>
      </c>
      <c r="E91" s="11">
        <f>SUMPRODUCT((Diário!$E$4:$E$2662='Analítico Cp.'!$B91)*(Diário!$C$4:$C$2662&gt;=E$4)*(Diário!$C$4:$C$2662&lt;=EOMONTH(E$4,0))*(Diário!$F$4:$F$2662))
+SUMPRODUCT(('Comp.'!$D$5:$D$402=$B91)*('Comp.'!$B$5:$B$402&gt;=E$4)*('Comp.'!$B$5:$B$402&lt;=EOMONTH(E$4,0))*('Comp.'!$E$5:$E$402))</f>
        <v>0</v>
      </c>
      <c r="F91" s="11">
        <f>SUMPRODUCT((Diário!$E$4:$E$2662='Analítico Cp.'!$B91)*(Diário!$C$4:$C$2662&gt;=F$4)*(Diário!$C$4:$C$2662&lt;=EOMONTH(F$4,0))*(Diário!$F$4:$F$2662))
+SUMPRODUCT(('Comp.'!$D$5:$D$402=$B91)*('Comp.'!$B$5:$B$402&gt;=F$4)*('Comp.'!$B$5:$B$402&lt;=EOMONTH(F$4,0))*('Comp.'!$E$5:$E$402))</f>
        <v>0</v>
      </c>
      <c r="G91" s="11">
        <f>SUMPRODUCT((Diário!$E$4:$E$2662='Analítico Cp.'!$B91)*(Diário!$C$4:$C$2662&gt;=G$4)*(Diário!$C$4:$C$2662&lt;=EOMONTH(G$4,0))*(Diário!$F$4:$F$2662))
+SUMPRODUCT(('Comp.'!$D$5:$D$402=$B91)*('Comp.'!$B$5:$B$402&gt;=G$4)*('Comp.'!$B$5:$B$402&lt;=EOMONTH(G$4,0))*('Comp.'!$E$5:$E$402))</f>
        <v>268.51</v>
      </c>
      <c r="H91" s="11">
        <f>SUMPRODUCT((Diário!$E$4:$E$2662='Analítico Cp.'!$B91)*(Diário!$C$4:$C$2662&gt;=H$4)*(Diário!$C$4:$C$2662&lt;=EOMONTH(H$4,0))*(Diário!$F$4:$F$2662))
+SUMPRODUCT(('Comp.'!$D$5:$D$402=$B91)*('Comp.'!$B$5:$B$402&gt;=H$4)*('Comp.'!$B$5:$B$402&lt;=EOMONTH(H$4,0))*('Comp.'!$E$5:$E$402))</f>
        <v>0</v>
      </c>
      <c r="I91" s="11">
        <f>SUMPRODUCT((Diário!$E$4:$E$2662='Analítico Cp.'!$B91)*(Diário!$C$4:$C$2662&gt;=I$4)*(Diário!$C$4:$C$2662&lt;=EOMONTH(I$4,0))*(Diário!$F$4:$F$2662))
+SUMPRODUCT(('Comp.'!$D$5:$D$402=$B91)*('Comp.'!$B$5:$B$402&gt;=I$4)*('Comp.'!$B$5:$B$402&lt;=EOMONTH(I$4,0))*('Comp.'!$E$5:$E$402))</f>
        <v>0</v>
      </c>
      <c r="J91" s="11">
        <f>SUMPRODUCT((Diário!$E$4:$E$2662='Analítico Cp.'!$B91)*(Diário!$C$4:$C$2662&gt;=J$4)*(Diário!$C$4:$C$2662&lt;=EOMONTH(J$4,0))*(Diário!$F$4:$F$2662))
+SUMPRODUCT(('Comp.'!$D$5:$D$402=$B91)*('Comp.'!$B$5:$B$402&gt;=J$4)*('Comp.'!$B$5:$B$402&lt;=EOMONTH(J$4,0))*('Comp.'!$E$5:$E$402))</f>
        <v>0</v>
      </c>
      <c r="K91" s="11">
        <f>SUMPRODUCT((Diário!$E$4:$E$2662='Analítico Cp.'!$B91)*(Diário!$C$4:$C$2662&gt;=K$4)*(Diário!$C$4:$C$2662&lt;=EOMONTH(K$4,0))*(Diário!$F$4:$F$2662))
+SUMPRODUCT(('Comp.'!$D$5:$D$402=$B91)*('Comp.'!$B$5:$B$402&gt;=K$4)*('Comp.'!$B$5:$B$402&lt;=EOMONTH(K$4,0))*('Comp.'!$E$5:$E$402))</f>
        <v>0</v>
      </c>
      <c r="L91" s="11">
        <f>SUMPRODUCT((Diário!$E$4:$E$2662='Analítico Cp.'!$B91)*(Diário!$C$4:$C$2662&gt;=L$4)*(Diário!$C$4:$C$2662&lt;=EOMONTH(L$4,0))*(Diário!$F$4:$F$2662))
+SUMPRODUCT(('Comp.'!$D$5:$D$402=$B91)*('Comp.'!$B$5:$B$402&gt;=L$4)*('Comp.'!$B$5:$B$402&lt;=EOMONTH(L$4,0))*('Comp.'!$E$5:$E$402))</f>
        <v>0</v>
      </c>
      <c r="M91" s="11">
        <f>SUMPRODUCT((Diário!$E$4:$E$2662='Analítico Cp.'!$B91)*(Diário!$C$4:$C$2662&gt;=M$4)*(Diário!$C$4:$C$2662&lt;=EOMONTH(M$4,0))*(Diário!$F$4:$F$2662))
+SUMPRODUCT(('Comp.'!$D$5:$D$402=$B91)*('Comp.'!$B$5:$B$402&gt;=M$4)*('Comp.'!$B$5:$B$402&lt;=EOMONTH(M$4,0))*('Comp.'!$E$5:$E$402))</f>
        <v>0</v>
      </c>
      <c r="N91" s="11">
        <f>SUMPRODUCT((Diário!$E$4:$E$2662='Analítico Cp.'!$B91)*(Diário!$C$4:$C$2662&gt;=N$4)*(Diário!$C$4:$C$2662&lt;=EOMONTH(N$4,0))*(Diário!$F$4:$F$2662))
+SUMPRODUCT(('Comp.'!$D$5:$D$402=$B91)*('Comp.'!$B$5:$B$402&gt;=N$4)*('Comp.'!$B$5:$B$402&lt;=EOMONTH(N$4,0))*('Comp.'!$E$5:$E$402))</f>
        <v>0</v>
      </c>
      <c r="O91" s="12">
        <f t="shared" si="14"/>
        <v>268.51</v>
      </c>
      <c r="P91" s="95">
        <f t="shared" si="15"/>
        <v>1.3447210447240177E-5</v>
      </c>
    </row>
    <row r="92" spans="1:16" ht="23.25" customHeight="1">
      <c r="A92" s="40" t="s">
        <v>176</v>
      </c>
      <c r="B92" s="60" t="s">
        <v>62</v>
      </c>
      <c r="C92" s="11">
        <f>SUMPRODUCT((Diário!$E$4:$E$2662='Analítico Cp.'!$B92)*(Diário!$C$4:$C$2662&gt;=C$4)*(Diário!$C$4:$C$2662&lt;=EOMONTH(C$4,0))*(Diário!$F$4:$F$2662))
+SUMPRODUCT(('Comp.'!$D$5:$D$402=$B92)*('Comp.'!$B$5:$B$402&gt;=C$4)*('Comp.'!$B$5:$B$402&lt;=EOMONTH(C$4,0))*('Comp.'!$E$5:$E$402))</f>
        <v>0</v>
      </c>
      <c r="D92" s="11">
        <f>SUMPRODUCT((Diário!$E$4:$E$2662='Analítico Cp.'!$B92)*(Diário!$C$4:$C$2662&gt;=D$4)*(Diário!$C$4:$C$2662&lt;=EOMONTH(D$4,0))*(Diário!$F$4:$F$2662))
+SUMPRODUCT(('Comp.'!$D$5:$D$402=$B92)*('Comp.'!$B$5:$B$402&gt;=D$4)*('Comp.'!$B$5:$B$402&lt;=EOMONTH(D$4,0))*('Comp.'!$E$5:$E$402))</f>
        <v>0</v>
      </c>
      <c r="E92" s="11">
        <f>SUMPRODUCT((Diário!$E$4:$E$2662='Analítico Cp.'!$B92)*(Diário!$C$4:$C$2662&gt;=E$4)*(Diário!$C$4:$C$2662&lt;=EOMONTH(E$4,0))*(Diário!$F$4:$F$2662))
+SUMPRODUCT(('Comp.'!$D$5:$D$402=$B92)*('Comp.'!$B$5:$B$402&gt;=E$4)*('Comp.'!$B$5:$B$402&lt;=EOMONTH(E$4,0))*('Comp.'!$E$5:$E$402))</f>
        <v>0</v>
      </c>
      <c r="F92" s="11">
        <f>SUMPRODUCT((Diário!$E$4:$E$2662='Analítico Cp.'!$B92)*(Diário!$C$4:$C$2662&gt;=F$4)*(Diário!$C$4:$C$2662&lt;=EOMONTH(F$4,0))*(Diário!$F$4:$F$2662))
+SUMPRODUCT(('Comp.'!$D$5:$D$402=$B92)*('Comp.'!$B$5:$B$402&gt;=F$4)*('Comp.'!$B$5:$B$402&lt;=EOMONTH(F$4,0))*('Comp.'!$E$5:$E$402))</f>
        <v>0</v>
      </c>
      <c r="G92" s="11">
        <f>SUMPRODUCT((Diário!$E$4:$E$2662='Analítico Cp.'!$B92)*(Diário!$C$4:$C$2662&gt;=G$4)*(Diário!$C$4:$C$2662&lt;=EOMONTH(G$4,0))*(Diário!$F$4:$F$2662))
+SUMPRODUCT(('Comp.'!$D$5:$D$402=$B92)*('Comp.'!$B$5:$B$402&gt;=G$4)*('Comp.'!$B$5:$B$402&lt;=EOMONTH(G$4,0))*('Comp.'!$E$5:$E$402))</f>
        <v>0</v>
      </c>
      <c r="H92" s="11">
        <f>SUMPRODUCT((Diário!$E$4:$E$2662='Analítico Cp.'!$B92)*(Diário!$C$4:$C$2662&gt;=H$4)*(Diário!$C$4:$C$2662&lt;=EOMONTH(H$4,0))*(Diário!$F$4:$F$2662))
+SUMPRODUCT(('Comp.'!$D$5:$D$402=$B92)*('Comp.'!$B$5:$B$402&gt;=H$4)*('Comp.'!$B$5:$B$402&lt;=EOMONTH(H$4,0))*('Comp.'!$E$5:$E$402))</f>
        <v>0</v>
      </c>
      <c r="I92" s="11">
        <f>SUMPRODUCT((Diário!$E$4:$E$2662='Analítico Cp.'!$B92)*(Diário!$C$4:$C$2662&gt;=I$4)*(Diário!$C$4:$C$2662&lt;=EOMONTH(I$4,0))*(Diário!$F$4:$F$2662))
+SUMPRODUCT(('Comp.'!$D$5:$D$402=$B92)*('Comp.'!$B$5:$B$402&gt;=I$4)*('Comp.'!$B$5:$B$402&lt;=EOMONTH(I$4,0))*('Comp.'!$E$5:$E$402))</f>
        <v>0</v>
      </c>
      <c r="J92" s="11">
        <f>SUMPRODUCT((Diário!$E$4:$E$2662='Analítico Cp.'!$B92)*(Diário!$C$4:$C$2662&gt;=J$4)*(Diário!$C$4:$C$2662&lt;=EOMONTH(J$4,0))*(Diário!$F$4:$F$2662))
+SUMPRODUCT(('Comp.'!$D$5:$D$402=$B92)*('Comp.'!$B$5:$B$402&gt;=J$4)*('Comp.'!$B$5:$B$402&lt;=EOMONTH(J$4,0))*('Comp.'!$E$5:$E$402))</f>
        <v>0</v>
      </c>
      <c r="K92" s="11">
        <f>SUMPRODUCT((Diário!$E$4:$E$2662='Analítico Cp.'!$B92)*(Diário!$C$4:$C$2662&gt;=K$4)*(Diário!$C$4:$C$2662&lt;=EOMONTH(K$4,0))*(Diário!$F$4:$F$2662))
+SUMPRODUCT(('Comp.'!$D$5:$D$402=$B92)*('Comp.'!$B$5:$B$402&gt;=K$4)*('Comp.'!$B$5:$B$402&lt;=EOMONTH(K$4,0))*('Comp.'!$E$5:$E$402))</f>
        <v>0</v>
      </c>
      <c r="L92" s="11">
        <f>SUMPRODUCT((Diário!$E$4:$E$2662='Analítico Cp.'!$B92)*(Diário!$C$4:$C$2662&gt;=L$4)*(Diário!$C$4:$C$2662&lt;=EOMONTH(L$4,0))*(Diário!$F$4:$F$2662))
+SUMPRODUCT(('Comp.'!$D$5:$D$402=$B92)*('Comp.'!$B$5:$B$402&gt;=L$4)*('Comp.'!$B$5:$B$402&lt;=EOMONTH(L$4,0))*('Comp.'!$E$5:$E$402))</f>
        <v>0</v>
      </c>
      <c r="M92" s="11">
        <f>SUMPRODUCT((Diário!$E$4:$E$2662='Analítico Cp.'!$B92)*(Diário!$C$4:$C$2662&gt;=M$4)*(Diário!$C$4:$C$2662&lt;=EOMONTH(M$4,0))*(Diário!$F$4:$F$2662))
+SUMPRODUCT(('Comp.'!$D$5:$D$402=$B92)*('Comp.'!$B$5:$B$402&gt;=M$4)*('Comp.'!$B$5:$B$402&lt;=EOMONTH(M$4,0))*('Comp.'!$E$5:$E$402))</f>
        <v>0</v>
      </c>
      <c r="N92" s="11">
        <f>SUMPRODUCT((Diário!$E$4:$E$2662='Analítico Cp.'!$B92)*(Diário!$C$4:$C$2662&gt;=N$4)*(Diário!$C$4:$C$2662&lt;=EOMONTH(N$4,0))*(Diário!$F$4:$F$2662))
+SUMPRODUCT(('Comp.'!$D$5:$D$402=$B92)*('Comp.'!$B$5:$B$402&gt;=N$4)*('Comp.'!$B$5:$B$402&lt;=EOMONTH(N$4,0))*('Comp.'!$E$5:$E$402))</f>
        <v>0</v>
      </c>
      <c r="O92" s="12">
        <f t="shared" si="14"/>
        <v>0</v>
      </c>
      <c r="P92" s="95">
        <f t="shared" si="15"/>
        <v>0</v>
      </c>
    </row>
    <row r="93" spans="1:16" ht="23.25" customHeight="1">
      <c r="A93" s="40" t="s">
        <v>177</v>
      </c>
      <c r="B93" s="60" t="s">
        <v>129</v>
      </c>
      <c r="C93" s="11">
        <f>SUMPRODUCT((Diário!$E$4:$E$2662='Analítico Cp.'!$B93)*(Diário!$C$4:$C$2662&gt;=C$4)*(Diário!$C$4:$C$2662&lt;=EOMONTH(C$4,0))*(Diário!$F$4:$F$2662))
+SUMPRODUCT(('Comp.'!$D$5:$D$402=$B93)*('Comp.'!$B$5:$B$402&gt;=C$4)*('Comp.'!$B$5:$B$402&lt;=EOMONTH(C$4,0))*('Comp.'!$E$5:$E$402))</f>
        <v>0</v>
      </c>
      <c r="D93" s="11">
        <f>SUMPRODUCT((Diário!$E$4:$E$2662='Analítico Cp.'!$B93)*(Diário!$C$4:$C$2662&gt;=D$4)*(Diário!$C$4:$C$2662&lt;=EOMONTH(D$4,0))*(Diário!$F$4:$F$2662))
+SUMPRODUCT(('Comp.'!$D$5:$D$402=$B93)*('Comp.'!$B$5:$B$402&gt;=D$4)*('Comp.'!$B$5:$B$402&lt;=EOMONTH(D$4,0))*('Comp.'!$E$5:$E$402))</f>
        <v>0</v>
      </c>
      <c r="E93" s="11">
        <f>SUMPRODUCT((Diário!$E$4:$E$2662='Analítico Cp.'!$B93)*(Diário!$C$4:$C$2662&gt;=E$4)*(Diário!$C$4:$C$2662&lt;=EOMONTH(E$4,0))*(Diário!$F$4:$F$2662))
+SUMPRODUCT(('Comp.'!$D$5:$D$402=$B93)*('Comp.'!$B$5:$B$402&gt;=E$4)*('Comp.'!$B$5:$B$402&lt;=EOMONTH(E$4,0))*('Comp.'!$E$5:$E$402))</f>
        <v>0</v>
      </c>
      <c r="F93" s="11">
        <f>SUMPRODUCT((Diário!$E$4:$E$2662='Analítico Cp.'!$B93)*(Diário!$C$4:$C$2662&gt;=F$4)*(Diário!$C$4:$C$2662&lt;=EOMONTH(F$4,0))*(Diário!$F$4:$F$2662))
+SUMPRODUCT(('Comp.'!$D$5:$D$402=$B93)*('Comp.'!$B$5:$B$402&gt;=F$4)*('Comp.'!$B$5:$B$402&lt;=EOMONTH(F$4,0))*('Comp.'!$E$5:$E$402))</f>
        <v>0</v>
      </c>
      <c r="G93" s="11">
        <f>SUMPRODUCT((Diário!$E$4:$E$2662='Analítico Cp.'!$B93)*(Diário!$C$4:$C$2662&gt;=G$4)*(Diário!$C$4:$C$2662&lt;=EOMONTH(G$4,0))*(Diário!$F$4:$F$2662))
+SUMPRODUCT(('Comp.'!$D$5:$D$402=$B93)*('Comp.'!$B$5:$B$402&gt;=G$4)*('Comp.'!$B$5:$B$402&lt;=EOMONTH(G$4,0))*('Comp.'!$E$5:$E$402))</f>
        <v>0</v>
      </c>
      <c r="H93" s="11">
        <f>SUMPRODUCT((Diário!$E$4:$E$2662='Analítico Cp.'!$B93)*(Diário!$C$4:$C$2662&gt;=H$4)*(Diário!$C$4:$C$2662&lt;=EOMONTH(H$4,0))*(Diário!$F$4:$F$2662))
+SUMPRODUCT(('Comp.'!$D$5:$D$402=$B93)*('Comp.'!$B$5:$B$402&gt;=H$4)*('Comp.'!$B$5:$B$402&lt;=EOMONTH(H$4,0))*('Comp.'!$E$5:$E$402))</f>
        <v>0</v>
      </c>
      <c r="I93" s="11">
        <f>SUMPRODUCT((Diário!$E$4:$E$2662='Analítico Cp.'!$B93)*(Diário!$C$4:$C$2662&gt;=I$4)*(Diário!$C$4:$C$2662&lt;=EOMONTH(I$4,0))*(Diário!$F$4:$F$2662))
+SUMPRODUCT(('Comp.'!$D$5:$D$402=$B93)*('Comp.'!$B$5:$B$402&gt;=I$4)*('Comp.'!$B$5:$B$402&lt;=EOMONTH(I$4,0))*('Comp.'!$E$5:$E$402))</f>
        <v>0</v>
      </c>
      <c r="J93" s="11">
        <f>SUMPRODUCT((Diário!$E$4:$E$2662='Analítico Cp.'!$B93)*(Diário!$C$4:$C$2662&gt;=J$4)*(Diário!$C$4:$C$2662&lt;=EOMONTH(J$4,0))*(Diário!$F$4:$F$2662))
+SUMPRODUCT(('Comp.'!$D$5:$D$402=$B93)*('Comp.'!$B$5:$B$402&gt;=J$4)*('Comp.'!$B$5:$B$402&lt;=EOMONTH(J$4,0))*('Comp.'!$E$5:$E$402))</f>
        <v>0</v>
      </c>
      <c r="K93" s="11">
        <f>SUMPRODUCT((Diário!$E$4:$E$2662='Analítico Cp.'!$B93)*(Diário!$C$4:$C$2662&gt;=K$4)*(Diário!$C$4:$C$2662&lt;=EOMONTH(K$4,0))*(Diário!$F$4:$F$2662))
+SUMPRODUCT(('Comp.'!$D$5:$D$402=$B93)*('Comp.'!$B$5:$B$402&gt;=K$4)*('Comp.'!$B$5:$B$402&lt;=EOMONTH(K$4,0))*('Comp.'!$E$5:$E$402))</f>
        <v>0</v>
      </c>
      <c r="L93" s="11">
        <f>SUMPRODUCT((Diário!$E$4:$E$2662='Analítico Cp.'!$B93)*(Diário!$C$4:$C$2662&gt;=L$4)*(Diário!$C$4:$C$2662&lt;=EOMONTH(L$4,0))*(Diário!$F$4:$F$2662))
+SUMPRODUCT(('Comp.'!$D$5:$D$402=$B93)*('Comp.'!$B$5:$B$402&gt;=L$4)*('Comp.'!$B$5:$B$402&lt;=EOMONTH(L$4,0))*('Comp.'!$E$5:$E$402))</f>
        <v>0</v>
      </c>
      <c r="M93" s="11">
        <f>SUMPRODUCT((Diário!$E$4:$E$2662='Analítico Cp.'!$B93)*(Diário!$C$4:$C$2662&gt;=M$4)*(Diário!$C$4:$C$2662&lt;=EOMONTH(M$4,0))*(Diário!$F$4:$F$2662))
+SUMPRODUCT(('Comp.'!$D$5:$D$402=$B93)*('Comp.'!$B$5:$B$402&gt;=M$4)*('Comp.'!$B$5:$B$402&lt;=EOMONTH(M$4,0))*('Comp.'!$E$5:$E$402))</f>
        <v>0</v>
      </c>
      <c r="N93" s="11">
        <f>SUMPRODUCT((Diário!$E$4:$E$2662='Analítico Cp.'!$B93)*(Diário!$C$4:$C$2662&gt;=N$4)*(Diário!$C$4:$C$2662&lt;=EOMONTH(N$4,0))*(Diário!$F$4:$F$2662))
+SUMPRODUCT(('Comp.'!$D$5:$D$402=$B93)*('Comp.'!$B$5:$B$402&gt;=N$4)*('Comp.'!$B$5:$B$402&lt;=EOMONTH(N$4,0))*('Comp.'!$E$5:$E$402))</f>
        <v>0</v>
      </c>
      <c r="O93" s="12">
        <f t="shared" si="14"/>
        <v>0</v>
      </c>
      <c r="P93" s="95">
        <f t="shared" si="15"/>
        <v>0</v>
      </c>
    </row>
    <row r="94" spans="1:16" ht="23.25" customHeight="1">
      <c r="A94" s="40" t="s">
        <v>178</v>
      </c>
      <c r="B94" s="60" t="s">
        <v>127</v>
      </c>
      <c r="C94" s="11">
        <f>SUMPRODUCT((Diário!$E$4:$E$2662='Analítico Cp.'!$B94)*(Diário!$C$4:$C$2662&gt;=C$4)*(Diário!$C$4:$C$2662&lt;=EOMONTH(C$4,0))*(Diário!$F$4:$F$2662))
+SUMPRODUCT(('Comp.'!$D$5:$D$402=$B94)*('Comp.'!$B$5:$B$402&gt;=C$4)*('Comp.'!$B$5:$B$402&lt;=EOMONTH(C$4,0))*('Comp.'!$E$5:$E$402))</f>
        <v>0</v>
      </c>
      <c r="D94" s="11">
        <f>SUMPRODUCT((Diário!$E$4:$E$2662='Analítico Cp.'!$B94)*(Diário!$C$4:$C$2662&gt;=D$4)*(Diário!$C$4:$C$2662&lt;=EOMONTH(D$4,0))*(Diário!$F$4:$F$2662))
+SUMPRODUCT(('Comp.'!$D$5:$D$402=$B94)*('Comp.'!$B$5:$B$402&gt;=D$4)*('Comp.'!$B$5:$B$402&lt;=EOMONTH(D$4,0))*('Comp.'!$E$5:$E$402))</f>
        <v>0</v>
      </c>
      <c r="E94" s="11">
        <f>SUMPRODUCT((Diário!$E$4:$E$2662='Analítico Cp.'!$B94)*(Diário!$C$4:$C$2662&gt;=E$4)*(Diário!$C$4:$C$2662&lt;=EOMONTH(E$4,0))*(Diário!$F$4:$F$2662))
+SUMPRODUCT(('Comp.'!$D$5:$D$402=$B94)*('Comp.'!$B$5:$B$402&gt;=E$4)*('Comp.'!$B$5:$B$402&lt;=EOMONTH(E$4,0))*('Comp.'!$E$5:$E$402))</f>
        <v>0</v>
      </c>
      <c r="F94" s="11">
        <f>SUMPRODUCT((Diário!$E$4:$E$2662='Analítico Cp.'!$B94)*(Diário!$C$4:$C$2662&gt;=F$4)*(Diário!$C$4:$C$2662&lt;=EOMONTH(F$4,0))*(Diário!$F$4:$F$2662))
+SUMPRODUCT(('Comp.'!$D$5:$D$402=$B94)*('Comp.'!$B$5:$B$402&gt;=F$4)*('Comp.'!$B$5:$B$402&lt;=EOMONTH(F$4,0))*('Comp.'!$E$5:$E$402))</f>
        <v>0</v>
      </c>
      <c r="G94" s="11">
        <f>SUMPRODUCT((Diário!$E$4:$E$2662='Analítico Cp.'!$B94)*(Diário!$C$4:$C$2662&gt;=G$4)*(Diário!$C$4:$C$2662&lt;=EOMONTH(G$4,0))*(Diário!$F$4:$F$2662))
+SUMPRODUCT(('Comp.'!$D$5:$D$402=$B94)*('Comp.'!$B$5:$B$402&gt;=G$4)*('Comp.'!$B$5:$B$402&lt;=EOMONTH(G$4,0))*('Comp.'!$E$5:$E$402))</f>
        <v>0</v>
      </c>
      <c r="H94" s="11">
        <f>SUMPRODUCT((Diário!$E$4:$E$2662='Analítico Cp.'!$B94)*(Diário!$C$4:$C$2662&gt;=H$4)*(Diário!$C$4:$C$2662&lt;=EOMONTH(H$4,0))*(Diário!$F$4:$F$2662))
+SUMPRODUCT(('Comp.'!$D$5:$D$402=$B94)*('Comp.'!$B$5:$B$402&gt;=H$4)*('Comp.'!$B$5:$B$402&lt;=EOMONTH(H$4,0))*('Comp.'!$E$5:$E$402))</f>
        <v>0</v>
      </c>
      <c r="I94" s="11">
        <f>SUMPRODUCT((Diário!$E$4:$E$2662='Analítico Cp.'!$B94)*(Diário!$C$4:$C$2662&gt;=I$4)*(Diário!$C$4:$C$2662&lt;=EOMONTH(I$4,0))*(Diário!$F$4:$F$2662))
+SUMPRODUCT(('Comp.'!$D$5:$D$402=$B94)*('Comp.'!$B$5:$B$402&gt;=I$4)*('Comp.'!$B$5:$B$402&lt;=EOMONTH(I$4,0))*('Comp.'!$E$5:$E$402))</f>
        <v>0</v>
      </c>
      <c r="J94" s="11">
        <f>SUMPRODUCT((Diário!$E$4:$E$2662='Analítico Cp.'!$B94)*(Diário!$C$4:$C$2662&gt;=J$4)*(Diário!$C$4:$C$2662&lt;=EOMONTH(J$4,0))*(Diário!$F$4:$F$2662))
+SUMPRODUCT(('Comp.'!$D$5:$D$402=$B94)*('Comp.'!$B$5:$B$402&gt;=J$4)*('Comp.'!$B$5:$B$402&lt;=EOMONTH(J$4,0))*('Comp.'!$E$5:$E$402))</f>
        <v>0</v>
      </c>
      <c r="K94" s="11">
        <f>SUMPRODUCT((Diário!$E$4:$E$2662='Analítico Cp.'!$B94)*(Diário!$C$4:$C$2662&gt;=K$4)*(Diário!$C$4:$C$2662&lt;=EOMONTH(K$4,0))*(Diário!$F$4:$F$2662))
+SUMPRODUCT(('Comp.'!$D$5:$D$402=$B94)*('Comp.'!$B$5:$B$402&gt;=K$4)*('Comp.'!$B$5:$B$402&lt;=EOMONTH(K$4,0))*('Comp.'!$E$5:$E$402))</f>
        <v>0</v>
      </c>
      <c r="L94" s="11">
        <f>SUMPRODUCT((Diário!$E$4:$E$2662='Analítico Cp.'!$B94)*(Diário!$C$4:$C$2662&gt;=L$4)*(Diário!$C$4:$C$2662&lt;=EOMONTH(L$4,0))*(Diário!$F$4:$F$2662))
+SUMPRODUCT(('Comp.'!$D$5:$D$402=$B94)*('Comp.'!$B$5:$B$402&gt;=L$4)*('Comp.'!$B$5:$B$402&lt;=EOMONTH(L$4,0))*('Comp.'!$E$5:$E$402))</f>
        <v>0</v>
      </c>
      <c r="M94" s="11">
        <f>SUMPRODUCT((Diário!$E$4:$E$2662='Analítico Cp.'!$B94)*(Diário!$C$4:$C$2662&gt;=M$4)*(Diário!$C$4:$C$2662&lt;=EOMONTH(M$4,0))*(Diário!$F$4:$F$2662))
+SUMPRODUCT(('Comp.'!$D$5:$D$402=$B94)*('Comp.'!$B$5:$B$402&gt;=M$4)*('Comp.'!$B$5:$B$402&lt;=EOMONTH(M$4,0))*('Comp.'!$E$5:$E$402))</f>
        <v>0</v>
      </c>
      <c r="N94" s="11">
        <f>SUMPRODUCT((Diário!$E$4:$E$2662='Analítico Cp.'!$B94)*(Diário!$C$4:$C$2662&gt;=N$4)*(Diário!$C$4:$C$2662&lt;=EOMONTH(N$4,0))*(Diário!$F$4:$F$2662))
+SUMPRODUCT(('Comp.'!$D$5:$D$402=$B94)*('Comp.'!$B$5:$B$402&gt;=N$4)*('Comp.'!$B$5:$B$402&lt;=EOMONTH(N$4,0))*('Comp.'!$E$5:$E$402))</f>
        <v>0</v>
      </c>
      <c r="O94" s="12">
        <f t="shared" si="14"/>
        <v>0</v>
      </c>
      <c r="P94" s="95">
        <f t="shared" si="15"/>
        <v>0</v>
      </c>
    </row>
    <row r="95" spans="1:16" ht="23.25" customHeight="1">
      <c r="A95" s="40" t="s">
        <v>179</v>
      </c>
      <c r="B95" s="60" t="s">
        <v>55</v>
      </c>
      <c r="C95" s="11">
        <f>SUMPRODUCT((Diário!$E$4:$E$2662='Analítico Cp.'!$B95)*(Diário!$C$4:$C$2662&gt;=C$4)*(Diário!$C$4:$C$2662&lt;=EOMONTH(C$4,0))*(Diário!$F$4:$F$2662))
+SUMPRODUCT(('Comp.'!$D$5:$D$402=$B95)*('Comp.'!$B$5:$B$402&gt;=C$4)*('Comp.'!$B$5:$B$402&lt;=EOMONTH(C$4,0))*('Comp.'!$E$5:$E$402))</f>
        <v>0</v>
      </c>
      <c r="D95" s="11">
        <f>SUMPRODUCT((Diário!$E$4:$E$2662='Analítico Cp.'!$B95)*(Diário!$C$4:$C$2662&gt;=D$4)*(Diário!$C$4:$C$2662&lt;=EOMONTH(D$4,0))*(Diário!$F$4:$F$2662))
+SUMPRODUCT(('Comp.'!$D$5:$D$402=$B95)*('Comp.'!$B$5:$B$402&gt;=D$4)*('Comp.'!$B$5:$B$402&lt;=EOMONTH(D$4,0))*('Comp.'!$E$5:$E$402))</f>
        <v>0</v>
      </c>
      <c r="E95" s="11">
        <f>SUMPRODUCT((Diário!$E$4:$E$2662='Analítico Cp.'!$B95)*(Diário!$C$4:$C$2662&gt;=E$4)*(Diário!$C$4:$C$2662&lt;=EOMONTH(E$4,0))*(Diário!$F$4:$F$2662))
+SUMPRODUCT(('Comp.'!$D$5:$D$402=$B95)*('Comp.'!$B$5:$B$402&gt;=E$4)*('Comp.'!$B$5:$B$402&lt;=EOMONTH(E$4,0))*('Comp.'!$E$5:$E$402))</f>
        <v>0</v>
      </c>
      <c r="F95" s="11">
        <f>SUMPRODUCT((Diário!$E$4:$E$2662='Analítico Cp.'!$B95)*(Diário!$C$4:$C$2662&gt;=F$4)*(Diário!$C$4:$C$2662&lt;=EOMONTH(F$4,0))*(Diário!$F$4:$F$2662))
+SUMPRODUCT(('Comp.'!$D$5:$D$402=$B95)*('Comp.'!$B$5:$B$402&gt;=F$4)*('Comp.'!$B$5:$B$402&lt;=EOMONTH(F$4,0))*('Comp.'!$E$5:$E$402))</f>
        <v>0</v>
      </c>
      <c r="G95" s="11">
        <f>SUMPRODUCT((Diário!$E$4:$E$2662='Analítico Cp.'!$B95)*(Diário!$C$4:$C$2662&gt;=G$4)*(Diário!$C$4:$C$2662&lt;=EOMONTH(G$4,0))*(Diário!$F$4:$F$2662))
+SUMPRODUCT(('Comp.'!$D$5:$D$402=$B95)*('Comp.'!$B$5:$B$402&gt;=G$4)*('Comp.'!$B$5:$B$402&lt;=EOMONTH(G$4,0))*('Comp.'!$E$5:$E$402))</f>
        <v>0</v>
      </c>
      <c r="H95" s="11">
        <f>SUMPRODUCT((Diário!$E$4:$E$2662='Analítico Cp.'!$B95)*(Diário!$C$4:$C$2662&gt;=H$4)*(Diário!$C$4:$C$2662&lt;=EOMONTH(H$4,0))*(Diário!$F$4:$F$2662))
+SUMPRODUCT(('Comp.'!$D$5:$D$402=$B95)*('Comp.'!$B$5:$B$402&gt;=H$4)*('Comp.'!$B$5:$B$402&lt;=EOMONTH(H$4,0))*('Comp.'!$E$5:$E$402))</f>
        <v>0</v>
      </c>
      <c r="I95" s="11">
        <f>SUMPRODUCT((Diário!$E$4:$E$2662='Analítico Cp.'!$B95)*(Diário!$C$4:$C$2662&gt;=I$4)*(Diário!$C$4:$C$2662&lt;=EOMONTH(I$4,0))*(Diário!$F$4:$F$2662))
+SUMPRODUCT(('Comp.'!$D$5:$D$402=$B95)*('Comp.'!$B$5:$B$402&gt;=I$4)*('Comp.'!$B$5:$B$402&lt;=EOMONTH(I$4,0))*('Comp.'!$E$5:$E$402))</f>
        <v>0</v>
      </c>
      <c r="J95" s="11">
        <f>SUMPRODUCT((Diário!$E$4:$E$2662='Analítico Cp.'!$B95)*(Diário!$C$4:$C$2662&gt;=J$4)*(Diário!$C$4:$C$2662&lt;=EOMONTH(J$4,0))*(Diário!$F$4:$F$2662))
+SUMPRODUCT(('Comp.'!$D$5:$D$402=$B95)*('Comp.'!$B$5:$B$402&gt;=J$4)*('Comp.'!$B$5:$B$402&lt;=EOMONTH(J$4,0))*('Comp.'!$E$5:$E$402))</f>
        <v>0</v>
      </c>
      <c r="K95" s="11">
        <f>SUMPRODUCT((Diário!$E$4:$E$2662='Analítico Cp.'!$B95)*(Diário!$C$4:$C$2662&gt;=K$4)*(Diário!$C$4:$C$2662&lt;=EOMONTH(K$4,0))*(Diário!$F$4:$F$2662))
+SUMPRODUCT(('Comp.'!$D$5:$D$402=$B95)*('Comp.'!$B$5:$B$402&gt;=K$4)*('Comp.'!$B$5:$B$402&lt;=EOMONTH(K$4,0))*('Comp.'!$E$5:$E$402))</f>
        <v>0</v>
      </c>
      <c r="L95" s="11">
        <f>SUMPRODUCT((Diário!$E$4:$E$2662='Analítico Cp.'!$B95)*(Diário!$C$4:$C$2662&gt;=L$4)*(Diário!$C$4:$C$2662&lt;=EOMONTH(L$4,0))*(Diário!$F$4:$F$2662))
+SUMPRODUCT(('Comp.'!$D$5:$D$402=$B95)*('Comp.'!$B$5:$B$402&gt;=L$4)*('Comp.'!$B$5:$B$402&lt;=EOMONTH(L$4,0))*('Comp.'!$E$5:$E$402))</f>
        <v>0</v>
      </c>
      <c r="M95" s="11">
        <f>SUMPRODUCT((Diário!$E$4:$E$2662='Analítico Cp.'!$B95)*(Diário!$C$4:$C$2662&gt;=M$4)*(Diário!$C$4:$C$2662&lt;=EOMONTH(M$4,0))*(Diário!$F$4:$F$2662))
+SUMPRODUCT(('Comp.'!$D$5:$D$402=$B95)*('Comp.'!$B$5:$B$402&gt;=M$4)*('Comp.'!$B$5:$B$402&lt;=EOMONTH(M$4,0))*('Comp.'!$E$5:$E$402))</f>
        <v>0</v>
      </c>
      <c r="N95" s="11">
        <f>SUMPRODUCT((Diário!$E$4:$E$2662='Analítico Cp.'!$B95)*(Diário!$C$4:$C$2662&gt;=N$4)*(Diário!$C$4:$C$2662&lt;=EOMONTH(N$4,0))*(Diário!$F$4:$F$2662))
+SUMPRODUCT(('Comp.'!$D$5:$D$402=$B95)*('Comp.'!$B$5:$B$402&gt;=N$4)*('Comp.'!$B$5:$B$402&lt;=EOMONTH(N$4,0))*('Comp.'!$E$5:$E$402))</f>
        <v>0</v>
      </c>
      <c r="O95" s="12">
        <f t="shared" si="14"/>
        <v>0</v>
      </c>
      <c r="P95" s="95">
        <f t="shared" si="15"/>
        <v>0</v>
      </c>
    </row>
    <row r="96" spans="1:16" ht="23.25" customHeight="1">
      <c r="A96" s="40" t="s">
        <v>180</v>
      </c>
      <c r="B96" s="60" t="s">
        <v>76</v>
      </c>
      <c r="C96" s="11">
        <f>SUMPRODUCT((Diário!$E$4:$E$2662='Analítico Cp.'!$B96)*(Diário!$C$4:$C$2662&gt;=C$4)*(Diário!$C$4:$C$2662&lt;=EOMONTH(C$4,0))*(Diário!$F$4:$F$2662))
+SUMPRODUCT(('Comp.'!$D$5:$D$402=$B96)*('Comp.'!$B$5:$B$402&gt;=C$4)*('Comp.'!$B$5:$B$402&lt;=EOMONTH(C$4,0))*('Comp.'!$E$5:$E$402))</f>
        <v>0</v>
      </c>
      <c r="D96" s="11">
        <f>SUMPRODUCT((Diário!$E$4:$E$2662='Analítico Cp.'!$B96)*(Diário!$C$4:$C$2662&gt;=D$4)*(Diário!$C$4:$C$2662&lt;=EOMONTH(D$4,0))*(Diário!$F$4:$F$2662))
+SUMPRODUCT(('Comp.'!$D$5:$D$402=$B96)*('Comp.'!$B$5:$B$402&gt;=D$4)*('Comp.'!$B$5:$B$402&lt;=EOMONTH(D$4,0))*('Comp.'!$E$5:$E$402))</f>
        <v>0</v>
      </c>
      <c r="E96" s="11">
        <f>SUMPRODUCT((Diário!$E$4:$E$2662='Analítico Cp.'!$B96)*(Diário!$C$4:$C$2662&gt;=E$4)*(Diário!$C$4:$C$2662&lt;=EOMONTH(E$4,0))*(Diário!$F$4:$F$2662))
+SUMPRODUCT(('Comp.'!$D$5:$D$402=$B96)*('Comp.'!$B$5:$B$402&gt;=E$4)*('Comp.'!$B$5:$B$402&lt;=EOMONTH(E$4,0))*('Comp.'!$E$5:$E$402))</f>
        <v>0</v>
      </c>
      <c r="F96" s="11">
        <f>SUMPRODUCT((Diário!$E$4:$E$2662='Analítico Cp.'!$B96)*(Diário!$C$4:$C$2662&gt;=F$4)*(Diário!$C$4:$C$2662&lt;=EOMONTH(F$4,0))*(Diário!$F$4:$F$2662))
+SUMPRODUCT(('Comp.'!$D$5:$D$402=$B96)*('Comp.'!$B$5:$B$402&gt;=F$4)*('Comp.'!$B$5:$B$402&lt;=EOMONTH(F$4,0))*('Comp.'!$E$5:$E$402))</f>
        <v>0</v>
      </c>
      <c r="G96" s="11">
        <f>SUMPRODUCT((Diário!$E$4:$E$2662='Analítico Cp.'!$B96)*(Diário!$C$4:$C$2662&gt;=G$4)*(Diário!$C$4:$C$2662&lt;=EOMONTH(G$4,0))*(Diário!$F$4:$F$2662))
+SUMPRODUCT(('Comp.'!$D$5:$D$402=$B96)*('Comp.'!$B$5:$B$402&gt;=G$4)*('Comp.'!$B$5:$B$402&lt;=EOMONTH(G$4,0))*('Comp.'!$E$5:$E$402))</f>
        <v>0</v>
      </c>
      <c r="H96" s="11">
        <f>SUMPRODUCT((Diário!$E$4:$E$2662='Analítico Cp.'!$B96)*(Diário!$C$4:$C$2662&gt;=H$4)*(Diário!$C$4:$C$2662&lt;=EOMONTH(H$4,0))*(Diário!$F$4:$F$2662))
+SUMPRODUCT(('Comp.'!$D$5:$D$402=$B96)*('Comp.'!$B$5:$B$402&gt;=H$4)*('Comp.'!$B$5:$B$402&lt;=EOMONTH(H$4,0))*('Comp.'!$E$5:$E$402))</f>
        <v>0</v>
      </c>
      <c r="I96" s="11">
        <f>SUMPRODUCT((Diário!$E$4:$E$2662='Analítico Cp.'!$B96)*(Diário!$C$4:$C$2662&gt;=I$4)*(Diário!$C$4:$C$2662&lt;=EOMONTH(I$4,0))*(Diário!$F$4:$F$2662))
+SUMPRODUCT(('Comp.'!$D$5:$D$402=$B96)*('Comp.'!$B$5:$B$402&gt;=I$4)*('Comp.'!$B$5:$B$402&lt;=EOMONTH(I$4,0))*('Comp.'!$E$5:$E$402))</f>
        <v>0</v>
      </c>
      <c r="J96" s="11">
        <f>SUMPRODUCT((Diário!$E$4:$E$2662='Analítico Cp.'!$B96)*(Diário!$C$4:$C$2662&gt;=J$4)*(Diário!$C$4:$C$2662&lt;=EOMONTH(J$4,0))*(Diário!$F$4:$F$2662))
+SUMPRODUCT(('Comp.'!$D$5:$D$402=$B96)*('Comp.'!$B$5:$B$402&gt;=J$4)*('Comp.'!$B$5:$B$402&lt;=EOMONTH(J$4,0))*('Comp.'!$E$5:$E$402))</f>
        <v>0</v>
      </c>
      <c r="K96" s="11">
        <f>SUMPRODUCT((Diário!$E$4:$E$2662='Analítico Cp.'!$B96)*(Diário!$C$4:$C$2662&gt;=K$4)*(Diário!$C$4:$C$2662&lt;=EOMONTH(K$4,0))*(Diário!$F$4:$F$2662))
+SUMPRODUCT(('Comp.'!$D$5:$D$402=$B96)*('Comp.'!$B$5:$B$402&gt;=K$4)*('Comp.'!$B$5:$B$402&lt;=EOMONTH(K$4,0))*('Comp.'!$E$5:$E$402))</f>
        <v>0</v>
      </c>
      <c r="L96" s="11">
        <f>SUMPRODUCT((Diário!$E$4:$E$2662='Analítico Cp.'!$B96)*(Diário!$C$4:$C$2662&gt;=L$4)*(Diário!$C$4:$C$2662&lt;=EOMONTH(L$4,0))*(Diário!$F$4:$F$2662))
+SUMPRODUCT(('Comp.'!$D$5:$D$402=$B96)*('Comp.'!$B$5:$B$402&gt;=L$4)*('Comp.'!$B$5:$B$402&lt;=EOMONTH(L$4,0))*('Comp.'!$E$5:$E$402))</f>
        <v>0</v>
      </c>
      <c r="M96" s="11">
        <f>SUMPRODUCT((Diário!$E$4:$E$2662='Analítico Cp.'!$B96)*(Diário!$C$4:$C$2662&gt;=M$4)*(Diário!$C$4:$C$2662&lt;=EOMONTH(M$4,0))*(Diário!$F$4:$F$2662))
+SUMPRODUCT(('Comp.'!$D$5:$D$402=$B96)*('Comp.'!$B$5:$B$402&gt;=M$4)*('Comp.'!$B$5:$B$402&lt;=EOMONTH(M$4,0))*('Comp.'!$E$5:$E$402))</f>
        <v>0</v>
      </c>
      <c r="N96" s="11">
        <f>SUMPRODUCT((Diário!$E$4:$E$2662='Analítico Cp.'!$B96)*(Diário!$C$4:$C$2662&gt;=N$4)*(Diário!$C$4:$C$2662&lt;=EOMONTH(N$4,0))*(Diário!$F$4:$F$2662))
+SUMPRODUCT(('Comp.'!$D$5:$D$402=$B96)*('Comp.'!$B$5:$B$402&gt;=N$4)*('Comp.'!$B$5:$B$402&lt;=EOMONTH(N$4,0))*('Comp.'!$E$5:$E$402))</f>
        <v>0</v>
      </c>
      <c r="O96" s="12">
        <f t="shared" si="14"/>
        <v>0</v>
      </c>
      <c r="P96" s="95">
        <f t="shared" si="15"/>
        <v>0</v>
      </c>
    </row>
    <row r="97" spans="1:16" ht="23.25" customHeight="1">
      <c r="A97" s="40" t="s">
        <v>181</v>
      </c>
      <c r="B97" s="60" t="s">
        <v>236</v>
      </c>
      <c r="C97" s="11">
        <f>SUMPRODUCT((Diário!$E$4:$E$2662='Analítico Cp.'!$B97)*(Diário!$C$4:$C$2662&gt;=C$4)*(Diário!$C$4:$C$2662&lt;=EOMONTH(C$4,0))*(Diário!$F$4:$F$2662))
+SUMPRODUCT(('Comp.'!$D$5:$D$402=$B97)*('Comp.'!$B$5:$B$402&gt;=C$4)*('Comp.'!$B$5:$B$402&lt;=EOMONTH(C$4,0))*('Comp.'!$E$5:$E$402))</f>
        <v>0</v>
      </c>
      <c r="D97" s="11">
        <f>SUMPRODUCT((Diário!$E$4:$E$2662='Analítico Cp.'!$B97)*(Diário!$C$4:$C$2662&gt;=D$4)*(Diário!$C$4:$C$2662&lt;=EOMONTH(D$4,0))*(Diário!$F$4:$F$2662))
+SUMPRODUCT(('Comp.'!$D$5:$D$402=$B97)*('Comp.'!$B$5:$B$402&gt;=D$4)*('Comp.'!$B$5:$B$402&lt;=EOMONTH(D$4,0))*('Comp.'!$E$5:$E$402))</f>
        <v>0</v>
      </c>
      <c r="E97" s="11">
        <f>SUMPRODUCT((Diário!$E$4:$E$2662='Analítico Cp.'!$B97)*(Diário!$C$4:$C$2662&gt;=E$4)*(Diário!$C$4:$C$2662&lt;=EOMONTH(E$4,0))*(Diário!$F$4:$F$2662))
+SUMPRODUCT(('Comp.'!$D$5:$D$402=$B97)*('Comp.'!$B$5:$B$402&gt;=E$4)*('Comp.'!$B$5:$B$402&lt;=EOMONTH(E$4,0))*('Comp.'!$E$5:$E$402))</f>
        <v>0</v>
      </c>
      <c r="F97" s="11">
        <f>SUMPRODUCT((Diário!$E$4:$E$2662='Analítico Cp.'!$B97)*(Diário!$C$4:$C$2662&gt;=F$4)*(Diário!$C$4:$C$2662&lt;=EOMONTH(F$4,0))*(Diário!$F$4:$F$2662))
+SUMPRODUCT(('Comp.'!$D$5:$D$402=$B97)*('Comp.'!$B$5:$B$402&gt;=F$4)*('Comp.'!$B$5:$B$402&lt;=EOMONTH(F$4,0))*('Comp.'!$E$5:$E$402))</f>
        <v>0</v>
      </c>
      <c r="G97" s="11">
        <f>SUMPRODUCT((Diário!$E$4:$E$2662='Analítico Cp.'!$B97)*(Diário!$C$4:$C$2662&gt;=G$4)*(Diário!$C$4:$C$2662&lt;=EOMONTH(G$4,0))*(Diário!$F$4:$F$2662))
+SUMPRODUCT(('Comp.'!$D$5:$D$402=$B97)*('Comp.'!$B$5:$B$402&gt;=G$4)*('Comp.'!$B$5:$B$402&lt;=EOMONTH(G$4,0))*('Comp.'!$E$5:$E$402))</f>
        <v>0</v>
      </c>
      <c r="H97" s="11">
        <f>SUMPRODUCT((Diário!$E$4:$E$2662='Analítico Cp.'!$B97)*(Diário!$C$4:$C$2662&gt;=H$4)*(Diário!$C$4:$C$2662&lt;=EOMONTH(H$4,0))*(Diário!$F$4:$F$2662))
+SUMPRODUCT(('Comp.'!$D$5:$D$402=$B97)*('Comp.'!$B$5:$B$402&gt;=H$4)*('Comp.'!$B$5:$B$402&lt;=EOMONTH(H$4,0))*('Comp.'!$E$5:$E$402))</f>
        <v>0</v>
      </c>
      <c r="I97" s="11">
        <f>SUMPRODUCT((Diário!$E$4:$E$2662='Analítico Cp.'!$B97)*(Diário!$C$4:$C$2662&gt;=I$4)*(Diário!$C$4:$C$2662&lt;=EOMONTH(I$4,0))*(Diário!$F$4:$F$2662))
+SUMPRODUCT(('Comp.'!$D$5:$D$402=$B97)*('Comp.'!$B$5:$B$402&gt;=I$4)*('Comp.'!$B$5:$B$402&lt;=EOMONTH(I$4,0))*('Comp.'!$E$5:$E$402))</f>
        <v>0</v>
      </c>
      <c r="J97" s="11">
        <f>SUMPRODUCT((Diário!$E$4:$E$2662='Analítico Cp.'!$B97)*(Diário!$C$4:$C$2662&gt;=J$4)*(Diário!$C$4:$C$2662&lt;=EOMONTH(J$4,0))*(Diário!$F$4:$F$2662))
+SUMPRODUCT(('Comp.'!$D$5:$D$402=$B97)*('Comp.'!$B$5:$B$402&gt;=J$4)*('Comp.'!$B$5:$B$402&lt;=EOMONTH(J$4,0))*('Comp.'!$E$5:$E$402))</f>
        <v>0</v>
      </c>
      <c r="K97" s="11">
        <f>SUMPRODUCT((Diário!$E$4:$E$2662='Analítico Cp.'!$B97)*(Diário!$C$4:$C$2662&gt;=K$4)*(Diário!$C$4:$C$2662&lt;=EOMONTH(K$4,0))*(Diário!$F$4:$F$2662))
+SUMPRODUCT(('Comp.'!$D$5:$D$402=$B97)*('Comp.'!$B$5:$B$402&gt;=K$4)*('Comp.'!$B$5:$B$402&lt;=EOMONTH(K$4,0))*('Comp.'!$E$5:$E$402))</f>
        <v>0</v>
      </c>
      <c r="L97" s="11">
        <f>SUMPRODUCT((Diário!$E$4:$E$2662='Analítico Cp.'!$B97)*(Diário!$C$4:$C$2662&gt;=L$4)*(Diário!$C$4:$C$2662&lt;=EOMONTH(L$4,0))*(Diário!$F$4:$F$2662))
+SUMPRODUCT(('Comp.'!$D$5:$D$402=$B97)*('Comp.'!$B$5:$B$402&gt;=L$4)*('Comp.'!$B$5:$B$402&lt;=EOMONTH(L$4,0))*('Comp.'!$E$5:$E$402))</f>
        <v>0</v>
      </c>
      <c r="M97" s="11">
        <f>SUMPRODUCT((Diário!$E$4:$E$2662='Analítico Cp.'!$B97)*(Diário!$C$4:$C$2662&gt;=M$4)*(Diário!$C$4:$C$2662&lt;=EOMONTH(M$4,0))*(Diário!$F$4:$F$2662))
+SUMPRODUCT(('Comp.'!$D$5:$D$402=$B97)*('Comp.'!$B$5:$B$402&gt;=M$4)*('Comp.'!$B$5:$B$402&lt;=EOMONTH(M$4,0))*('Comp.'!$E$5:$E$402))</f>
        <v>0</v>
      </c>
      <c r="N97" s="11">
        <f>SUMPRODUCT((Diário!$E$4:$E$2662='Analítico Cp.'!$B97)*(Diário!$C$4:$C$2662&gt;=N$4)*(Diário!$C$4:$C$2662&lt;=EOMONTH(N$4,0))*(Diário!$F$4:$F$2662))
+SUMPRODUCT(('Comp.'!$D$5:$D$402=$B97)*('Comp.'!$B$5:$B$402&gt;=N$4)*('Comp.'!$B$5:$B$402&lt;=EOMONTH(N$4,0))*('Comp.'!$E$5:$E$402))</f>
        <v>0</v>
      </c>
      <c r="O97" s="12">
        <f t="shared" si="14"/>
        <v>0</v>
      </c>
      <c r="P97" s="95">
        <f t="shared" si="15"/>
        <v>0</v>
      </c>
    </row>
    <row r="98" spans="1:16" ht="23.25" customHeight="1">
      <c r="A98" s="40" t="s">
        <v>182</v>
      </c>
      <c r="B98" s="60" t="s">
        <v>0</v>
      </c>
      <c r="C98" s="11">
        <f>SUMPRODUCT((Diário!$E$4:$E$2662='Analítico Cp.'!$B98)*(Diário!$C$4:$C$2662&gt;=C$4)*(Diário!$C$4:$C$2662&lt;=EOMONTH(C$4,0))*(Diário!$F$4:$F$2662))
+SUMPRODUCT(('Comp.'!$D$5:$D$402=$B98)*('Comp.'!$B$5:$B$402&gt;=C$4)*('Comp.'!$B$5:$B$402&lt;=EOMONTH(C$4,0))*('Comp.'!$E$5:$E$402))</f>
        <v>2212.4</v>
      </c>
      <c r="D98" s="11">
        <f>SUMPRODUCT((Diário!$E$4:$E$2662='Analítico Cp.'!$B98)*(Diário!$C$4:$C$2662&gt;=D$4)*(Diário!$C$4:$C$2662&lt;=EOMONTH(D$4,0))*(Diário!$F$4:$F$2662))
+SUMPRODUCT(('Comp.'!$D$5:$D$402=$B98)*('Comp.'!$B$5:$B$402&gt;=D$4)*('Comp.'!$B$5:$B$402&lt;=EOMONTH(D$4,0))*('Comp.'!$E$5:$E$402))</f>
        <v>949.1099999999999</v>
      </c>
      <c r="E98" s="11">
        <f>SUMPRODUCT((Diário!$E$4:$E$2662='Analítico Cp.'!$B98)*(Diário!$C$4:$C$2662&gt;=E$4)*(Diário!$C$4:$C$2662&lt;=EOMONTH(E$4,0))*(Diário!$F$4:$F$2662))
+SUMPRODUCT(('Comp.'!$D$5:$D$402=$B98)*('Comp.'!$B$5:$B$402&gt;=E$4)*('Comp.'!$B$5:$B$402&lt;=EOMONTH(E$4,0))*('Comp.'!$E$5:$E$402))</f>
        <v>1847.32</v>
      </c>
      <c r="F98" s="11">
        <f>SUMPRODUCT((Diário!$E$4:$E$2662='Analítico Cp.'!$B98)*(Diário!$C$4:$C$2662&gt;=F$4)*(Diário!$C$4:$C$2662&lt;=EOMONTH(F$4,0))*(Diário!$F$4:$F$2662))
+SUMPRODUCT(('Comp.'!$D$5:$D$402=$B98)*('Comp.'!$B$5:$B$402&gt;=F$4)*('Comp.'!$B$5:$B$402&lt;=EOMONTH(F$4,0))*('Comp.'!$E$5:$E$402))</f>
        <v>1885.4</v>
      </c>
      <c r="G98" s="11">
        <f>SUMPRODUCT((Diário!$E$4:$E$2662='Analítico Cp.'!$B98)*(Diário!$C$4:$C$2662&gt;=G$4)*(Diário!$C$4:$C$2662&lt;=EOMONTH(G$4,0))*(Diário!$F$4:$F$2662))
+SUMPRODUCT(('Comp.'!$D$5:$D$402=$B98)*('Comp.'!$B$5:$B$402&gt;=G$4)*('Comp.'!$B$5:$B$402&lt;=EOMONTH(G$4,0))*('Comp.'!$E$5:$E$402))</f>
        <v>495.7</v>
      </c>
      <c r="H98" s="11">
        <f>SUMPRODUCT((Diário!$E$4:$E$2662='Analítico Cp.'!$B98)*(Diário!$C$4:$C$2662&gt;=H$4)*(Diário!$C$4:$C$2662&lt;=EOMONTH(H$4,0))*(Diário!$F$4:$F$2662))
+SUMPRODUCT(('Comp.'!$D$5:$D$402=$B98)*('Comp.'!$B$5:$B$402&gt;=H$4)*('Comp.'!$B$5:$B$402&lt;=EOMONTH(H$4,0))*('Comp.'!$E$5:$E$402))</f>
        <v>1389.51</v>
      </c>
      <c r="I98" s="11">
        <f>SUMPRODUCT((Diário!$E$4:$E$2662='Analítico Cp.'!$B98)*(Diário!$C$4:$C$2662&gt;=I$4)*(Diário!$C$4:$C$2662&lt;=EOMONTH(I$4,0))*(Diário!$F$4:$F$2662))
+SUMPRODUCT(('Comp.'!$D$5:$D$402=$B98)*('Comp.'!$B$5:$B$402&gt;=I$4)*('Comp.'!$B$5:$B$402&lt;=EOMONTH(I$4,0))*('Comp.'!$E$5:$E$402))</f>
        <v>0</v>
      </c>
      <c r="J98" s="11">
        <f>SUMPRODUCT((Diário!$E$4:$E$2662='Analítico Cp.'!$B98)*(Diário!$C$4:$C$2662&gt;=J$4)*(Diário!$C$4:$C$2662&lt;=EOMONTH(J$4,0))*(Diário!$F$4:$F$2662))
+SUMPRODUCT(('Comp.'!$D$5:$D$402=$B98)*('Comp.'!$B$5:$B$402&gt;=J$4)*('Comp.'!$B$5:$B$402&lt;=EOMONTH(J$4,0))*('Comp.'!$E$5:$E$402))</f>
        <v>0</v>
      </c>
      <c r="K98" s="11">
        <f>SUMPRODUCT((Diário!$E$4:$E$2662='Analítico Cp.'!$B98)*(Diário!$C$4:$C$2662&gt;=K$4)*(Diário!$C$4:$C$2662&lt;=EOMONTH(K$4,0))*(Diário!$F$4:$F$2662))
+SUMPRODUCT(('Comp.'!$D$5:$D$402=$B98)*('Comp.'!$B$5:$B$402&gt;=K$4)*('Comp.'!$B$5:$B$402&lt;=EOMONTH(K$4,0))*('Comp.'!$E$5:$E$402))</f>
        <v>0</v>
      </c>
      <c r="L98" s="11">
        <f>SUMPRODUCT((Diário!$E$4:$E$2662='Analítico Cp.'!$B98)*(Diário!$C$4:$C$2662&gt;=L$4)*(Diário!$C$4:$C$2662&lt;=EOMONTH(L$4,0))*(Diário!$F$4:$F$2662))
+SUMPRODUCT(('Comp.'!$D$5:$D$402=$B98)*('Comp.'!$B$5:$B$402&gt;=L$4)*('Comp.'!$B$5:$B$402&lt;=EOMONTH(L$4,0))*('Comp.'!$E$5:$E$402))</f>
        <v>0</v>
      </c>
      <c r="M98" s="11">
        <f>SUMPRODUCT((Diário!$E$4:$E$2662='Analítico Cp.'!$B98)*(Diário!$C$4:$C$2662&gt;=M$4)*(Diário!$C$4:$C$2662&lt;=EOMONTH(M$4,0))*(Diário!$F$4:$F$2662))
+SUMPRODUCT(('Comp.'!$D$5:$D$402=$B98)*('Comp.'!$B$5:$B$402&gt;=M$4)*('Comp.'!$B$5:$B$402&lt;=EOMONTH(M$4,0))*('Comp.'!$E$5:$E$402))</f>
        <v>0</v>
      </c>
      <c r="N98" s="11">
        <f>SUMPRODUCT((Diário!$E$4:$E$2662='Analítico Cp.'!$B98)*(Diário!$C$4:$C$2662&gt;=N$4)*(Diário!$C$4:$C$2662&lt;=EOMONTH(N$4,0))*(Diário!$F$4:$F$2662))
+SUMPRODUCT(('Comp.'!$D$5:$D$402=$B98)*('Comp.'!$B$5:$B$402&gt;=N$4)*('Comp.'!$B$5:$B$402&lt;=EOMONTH(N$4,0))*('Comp.'!$E$5:$E$402))</f>
        <v>0</v>
      </c>
      <c r="O98" s="12">
        <f t="shared" si="14"/>
        <v>8779.4399999999987</v>
      </c>
      <c r="P98" s="95">
        <f t="shared" si="15"/>
        <v>4.3968186394889683E-4</v>
      </c>
    </row>
    <row r="99" spans="1:16" ht="23.25" customHeight="1">
      <c r="A99" s="40" t="s">
        <v>183</v>
      </c>
      <c r="B99" s="61" t="s">
        <v>77</v>
      </c>
      <c r="C99" s="11">
        <f>SUMPRODUCT((Diário!$E$4:$E$2662='Analítico Cp.'!$B99)*(Diário!$C$4:$C$2662&gt;=C$4)*(Diário!$C$4:$C$2662&lt;=EOMONTH(C$4,0))*(Diário!$F$4:$F$2662))
+SUMPRODUCT(('Comp.'!$D$5:$D$402=$B99)*('Comp.'!$B$5:$B$402&gt;=C$4)*('Comp.'!$B$5:$B$402&lt;=EOMONTH(C$4,0))*('Comp.'!$E$5:$E$402))</f>
        <v>0</v>
      </c>
      <c r="D99" s="11">
        <f>SUMPRODUCT((Diário!$E$4:$E$2662='Analítico Cp.'!$B99)*(Diário!$C$4:$C$2662&gt;=D$4)*(Diário!$C$4:$C$2662&lt;=EOMONTH(D$4,0))*(Diário!$F$4:$F$2662))
+SUMPRODUCT(('Comp.'!$D$5:$D$402=$B99)*('Comp.'!$B$5:$B$402&gt;=D$4)*('Comp.'!$B$5:$B$402&lt;=EOMONTH(D$4,0))*('Comp.'!$E$5:$E$402))</f>
        <v>0</v>
      </c>
      <c r="E99" s="11">
        <f>SUMPRODUCT((Diário!$E$4:$E$2662='Analítico Cp.'!$B99)*(Diário!$C$4:$C$2662&gt;=E$4)*(Diário!$C$4:$C$2662&lt;=EOMONTH(E$4,0))*(Diário!$F$4:$F$2662))
+SUMPRODUCT(('Comp.'!$D$5:$D$402=$B99)*('Comp.'!$B$5:$B$402&gt;=E$4)*('Comp.'!$B$5:$B$402&lt;=EOMONTH(E$4,0))*('Comp.'!$E$5:$E$402))</f>
        <v>0</v>
      </c>
      <c r="F99" s="11">
        <f>SUMPRODUCT((Diário!$E$4:$E$2662='Analítico Cp.'!$B99)*(Diário!$C$4:$C$2662&gt;=F$4)*(Diário!$C$4:$C$2662&lt;=EOMONTH(F$4,0))*(Diário!$F$4:$F$2662))
+SUMPRODUCT(('Comp.'!$D$5:$D$402=$B99)*('Comp.'!$B$5:$B$402&gt;=F$4)*('Comp.'!$B$5:$B$402&lt;=EOMONTH(F$4,0))*('Comp.'!$E$5:$E$402))</f>
        <v>0</v>
      </c>
      <c r="G99" s="11">
        <f>SUMPRODUCT((Diário!$E$4:$E$2662='Analítico Cp.'!$B99)*(Diário!$C$4:$C$2662&gt;=G$4)*(Diário!$C$4:$C$2662&lt;=EOMONTH(G$4,0))*(Diário!$F$4:$F$2662))
+SUMPRODUCT(('Comp.'!$D$5:$D$402=$B99)*('Comp.'!$B$5:$B$402&gt;=G$4)*('Comp.'!$B$5:$B$402&lt;=EOMONTH(G$4,0))*('Comp.'!$E$5:$E$402))</f>
        <v>0</v>
      </c>
      <c r="H99" s="11">
        <f>SUMPRODUCT((Diário!$E$4:$E$2662='Analítico Cp.'!$B99)*(Diário!$C$4:$C$2662&gt;=H$4)*(Diário!$C$4:$C$2662&lt;=EOMONTH(H$4,0))*(Diário!$F$4:$F$2662))
+SUMPRODUCT(('Comp.'!$D$5:$D$402=$B99)*('Comp.'!$B$5:$B$402&gt;=H$4)*('Comp.'!$B$5:$B$402&lt;=EOMONTH(H$4,0))*('Comp.'!$E$5:$E$402))</f>
        <v>0</v>
      </c>
      <c r="I99" s="11">
        <f>SUMPRODUCT((Diário!$E$4:$E$2662='Analítico Cp.'!$B99)*(Diário!$C$4:$C$2662&gt;=I$4)*(Diário!$C$4:$C$2662&lt;=EOMONTH(I$4,0))*(Diário!$F$4:$F$2662))
+SUMPRODUCT(('Comp.'!$D$5:$D$402=$B99)*('Comp.'!$B$5:$B$402&gt;=I$4)*('Comp.'!$B$5:$B$402&lt;=EOMONTH(I$4,0))*('Comp.'!$E$5:$E$402))</f>
        <v>0</v>
      </c>
      <c r="J99" s="11">
        <f>SUMPRODUCT((Diário!$E$4:$E$2662='Analítico Cp.'!$B99)*(Diário!$C$4:$C$2662&gt;=J$4)*(Diário!$C$4:$C$2662&lt;=EOMONTH(J$4,0))*(Diário!$F$4:$F$2662))
+SUMPRODUCT(('Comp.'!$D$5:$D$402=$B99)*('Comp.'!$B$5:$B$402&gt;=J$4)*('Comp.'!$B$5:$B$402&lt;=EOMONTH(J$4,0))*('Comp.'!$E$5:$E$402))</f>
        <v>0</v>
      </c>
      <c r="K99" s="11">
        <f>SUMPRODUCT((Diário!$E$4:$E$2662='Analítico Cp.'!$B99)*(Diário!$C$4:$C$2662&gt;=K$4)*(Diário!$C$4:$C$2662&lt;=EOMONTH(K$4,0))*(Diário!$F$4:$F$2662))
+SUMPRODUCT(('Comp.'!$D$5:$D$402=$B99)*('Comp.'!$B$5:$B$402&gt;=K$4)*('Comp.'!$B$5:$B$402&lt;=EOMONTH(K$4,0))*('Comp.'!$E$5:$E$402))</f>
        <v>0</v>
      </c>
      <c r="L99" s="11">
        <f>SUMPRODUCT((Diário!$E$4:$E$2662='Analítico Cp.'!$B99)*(Diário!$C$4:$C$2662&gt;=L$4)*(Diário!$C$4:$C$2662&lt;=EOMONTH(L$4,0))*(Diário!$F$4:$F$2662))
+SUMPRODUCT(('Comp.'!$D$5:$D$402=$B99)*('Comp.'!$B$5:$B$402&gt;=L$4)*('Comp.'!$B$5:$B$402&lt;=EOMONTH(L$4,0))*('Comp.'!$E$5:$E$402))</f>
        <v>0</v>
      </c>
      <c r="M99" s="11">
        <f>SUMPRODUCT((Diário!$E$4:$E$2662='Analítico Cp.'!$B99)*(Diário!$C$4:$C$2662&gt;=M$4)*(Diário!$C$4:$C$2662&lt;=EOMONTH(M$4,0))*(Diário!$F$4:$F$2662))
+SUMPRODUCT(('Comp.'!$D$5:$D$402=$B99)*('Comp.'!$B$5:$B$402&gt;=M$4)*('Comp.'!$B$5:$B$402&lt;=EOMONTH(M$4,0))*('Comp.'!$E$5:$E$402))</f>
        <v>0</v>
      </c>
      <c r="N99" s="11">
        <f>SUMPRODUCT((Diário!$E$4:$E$2662='Analítico Cp.'!$B99)*(Diário!$C$4:$C$2662&gt;=N$4)*(Diário!$C$4:$C$2662&lt;=EOMONTH(N$4,0))*(Diário!$F$4:$F$2662))
+SUMPRODUCT(('Comp.'!$D$5:$D$402=$B99)*('Comp.'!$B$5:$B$402&gt;=N$4)*('Comp.'!$B$5:$B$402&lt;=EOMONTH(N$4,0))*('Comp.'!$E$5:$E$402))</f>
        <v>0</v>
      </c>
      <c r="O99" s="12">
        <f t="shared" si="14"/>
        <v>0</v>
      </c>
      <c r="P99" s="95">
        <f t="shared" si="15"/>
        <v>0</v>
      </c>
    </row>
    <row r="100" spans="1:16" ht="23.25" customHeight="1">
      <c r="A100" s="40" t="s">
        <v>184</v>
      </c>
      <c r="B100" s="62" t="s">
        <v>207</v>
      </c>
      <c r="C100" s="11">
        <f>SUMPRODUCT((Diário!$E$4:$E$2662='Analítico Cp.'!$B100)*(Diário!$C$4:$C$2662&gt;=C$4)*(Diário!$C$4:$C$2662&lt;=EOMONTH(C$4,0))*(Diário!$F$4:$F$2662))
+SUMPRODUCT(('Comp.'!$D$5:$D$402=$B100)*('Comp.'!$B$5:$B$402&gt;=C$4)*('Comp.'!$B$5:$B$402&lt;=EOMONTH(C$4,0))*('Comp.'!$E$5:$E$402))</f>
        <v>0</v>
      </c>
      <c r="D100" s="11">
        <f>SUMPRODUCT((Diário!$E$4:$E$2662='Analítico Cp.'!$B100)*(Diário!$C$4:$C$2662&gt;=D$4)*(Diário!$C$4:$C$2662&lt;=EOMONTH(D$4,0))*(Diário!$F$4:$F$2662))
+SUMPRODUCT(('Comp.'!$D$5:$D$402=$B100)*('Comp.'!$B$5:$B$402&gt;=D$4)*('Comp.'!$B$5:$B$402&lt;=EOMONTH(D$4,0))*('Comp.'!$E$5:$E$402))</f>
        <v>0</v>
      </c>
      <c r="E100" s="11">
        <f>SUMPRODUCT((Diário!$E$4:$E$2662='Analítico Cp.'!$B100)*(Diário!$C$4:$C$2662&gt;=E$4)*(Diário!$C$4:$C$2662&lt;=EOMONTH(E$4,0))*(Diário!$F$4:$F$2662))
+SUMPRODUCT(('Comp.'!$D$5:$D$402=$B100)*('Comp.'!$B$5:$B$402&gt;=E$4)*('Comp.'!$B$5:$B$402&lt;=EOMONTH(E$4,0))*('Comp.'!$E$5:$E$402))</f>
        <v>0</v>
      </c>
      <c r="F100" s="11">
        <f>SUMPRODUCT((Diário!$E$4:$E$2662='Analítico Cp.'!$B100)*(Diário!$C$4:$C$2662&gt;=F$4)*(Diário!$C$4:$C$2662&lt;=EOMONTH(F$4,0))*(Diário!$F$4:$F$2662))
+SUMPRODUCT(('Comp.'!$D$5:$D$402=$B100)*('Comp.'!$B$5:$B$402&gt;=F$4)*('Comp.'!$B$5:$B$402&lt;=EOMONTH(F$4,0))*('Comp.'!$E$5:$E$402))</f>
        <v>0</v>
      </c>
      <c r="G100" s="11">
        <f>SUMPRODUCT((Diário!$E$4:$E$2662='Analítico Cp.'!$B100)*(Diário!$C$4:$C$2662&gt;=G$4)*(Diário!$C$4:$C$2662&lt;=EOMONTH(G$4,0))*(Diário!$F$4:$F$2662))
+SUMPRODUCT(('Comp.'!$D$5:$D$402=$B100)*('Comp.'!$B$5:$B$402&gt;=G$4)*('Comp.'!$B$5:$B$402&lt;=EOMONTH(G$4,0))*('Comp.'!$E$5:$E$402))</f>
        <v>0</v>
      </c>
      <c r="H100" s="11">
        <f>SUMPRODUCT((Diário!$E$4:$E$2662='Analítico Cp.'!$B100)*(Diário!$C$4:$C$2662&gt;=H$4)*(Diário!$C$4:$C$2662&lt;=EOMONTH(H$4,0))*(Diário!$F$4:$F$2662))
+SUMPRODUCT(('Comp.'!$D$5:$D$402=$B100)*('Comp.'!$B$5:$B$402&gt;=H$4)*('Comp.'!$B$5:$B$402&lt;=EOMONTH(H$4,0))*('Comp.'!$E$5:$E$402))</f>
        <v>0</v>
      </c>
      <c r="I100" s="11">
        <f>SUMPRODUCT((Diário!$E$4:$E$2662='Analítico Cp.'!$B100)*(Diário!$C$4:$C$2662&gt;=I$4)*(Diário!$C$4:$C$2662&lt;=EOMONTH(I$4,0))*(Diário!$F$4:$F$2662))
+SUMPRODUCT(('Comp.'!$D$5:$D$402=$B100)*('Comp.'!$B$5:$B$402&gt;=I$4)*('Comp.'!$B$5:$B$402&lt;=EOMONTH(I$4,0))*('Comp.'!$E$5:$E$402))</f>
        <v>0</v>
      </c>
      <c r="J100" s="11">
        <f>SUMPRODUCT((Diário!$E$4:$E$2662='Analítico Cp.'!$B100)*(Diário!$C$4:$C$2662&gt;=J$4)*(Diário!$C$4:$C$2662&lt;=EOMONTH(J$4,0))*(Diário!$F$4:$F$2662))
+SUMPRODUCT(('Comp.'!$D$5:$D$402=$B100)*('Comp.'!$B$5:$B$402&gt;=J$4)*('Comp.'!$B$5:$B$402&lt;=EOMONTH(J$4,0))*('Comp.'!$E$5:$E$402))</f>
        <v>0</v>
      </c>
      <c r="K100" s="11">
        <f>SUMPRODUCT((Diário!$E$4:$E$2662='Analítico Cp.'!$B100)*(Diário!$C$4:$C$2662&gt;=K$4)*(Diário!$C$4:$C$2662&lt;=EOMONTH(K$4,0))*(Diário!$F$4:$F$2662))
+SUMPRODUCT(('Comp.'!$D$5:$D$402=$B100)*('Comp.'!$B$5:$B$402&gt;=K$4)*('Comp.'!$B$5:$B$402&lt;=EOMONTH(K$4,0))*('Comp.'!$E$5:$E$402))</f>
        <v>0</v>
      </c>
      <c r="L100" s="11">
        <f>SUMPRODUCT((Diário!$E$4:$E$2662='Analítico Cp.'!$B100)*(Diário!$C$4:$C$2662&gt;=L$4)*(Diário!$C$4:$C$2662&lt;=EOMONTH(L$4,0))*(Diário!$F$4:$F$2662))
+SUMPRODUCT(('Comp.'!$D$5:$D$402=$B100)*('Comp.'!$B$5:$B$402&gt;=L$4)*('Comp.'!$B$5:$B$402&lt;=EOMONTH(L$4,0))*('Comp.'!$E$5:$E$402))</f>
        <v>0</v>
      </c>
      <c r="M100" s="11">
        <f>SUMPRODUCT((Diário!$E$4:$E$2662='Analítico Cp.'!$B100)*(Diário!$C$4:$C$2662&gt;=M$4)*(Diário!$C$4:$C$2662&lt;=EOMONTH(M$4,0))*(Diário!$F$4:$F$2662))
+SUMPRODUCT(('Comp.'!$D$5:$D$402=$B100)*('Comp.'!$B$5:$B$402&gt;=M$4)*('Comp.'!$B$5:$B$402&lt;=EOMONTH(M$4,0))*('Comp.'!$E$5:$E$402))</f>
        <v>0</v>
      </c>
      <c r="N100" s="11">
        <f>SUMPRODUCT((Diário!$E$4:$E$2662='Analítico Cp.'!$B100)*(Diário!$C$4:$C$2662&gt;=N$4)*(Diário!$C$4:$C$2662&lt;=EOMONTH(N$4,0))*(Diário!$F$4:$F$2662))
+SUMPRODUCT(('Comp.'!$D$5:$D$402=$B100)*('Comp.'!$B$5:$B$402&gt;=N$4)*('Comp.'!$B$5:$B$402&lt;=EOMONTH(N$4,0))*('Comp.'!$E$5:$E$402))</f>
        <v>0</v>
      </c>
      <c r="O100" s="12">
        <f t="shared" si="14"/>
        <v>0</v>
      </c>
      <c r="P100" s="95">
        <f t="shared" si="15"/>
        <v>0</v>
      </c>
    </row>
    <row r="101" spans="1:16" ht="23.25" customHeight="1">
      <c r="A101" s="40" t="s">
        <v>185</v>
      </c>
      <c r="B101" s="61" t="s">
        <v>244</v>
      </c>
      <c r="C101" s="11">
        <f>SUMPRODUCT((Diário!$E$4:$E$2662='Analítico Cp.'!$B101)*(Diário!$C$4:$C$2662&gt;=C$4)*(Diário!$C$4:$C$2662&lt;=EOMONTH(C$4,0))*(Diário!$F$4:$F$2662))
+SUMPRODUCT(('Comp.'!$D$5:$D$402=$B101)*('Comp.'!$B$5:$B$402&gt;=C$4)*('Comp.'!$B$5:$B$402&lt;=EOMONTH(C$4,0))*('Comp.'!$E$5:$E$402))</f>
        <v>0</v>
      </c>
      <c r="D101" s="11">
        <f>SUMPRODUCT((Diário!$E$4:$E$2662='Analítico Cp.'!$B101)*(Diário!$C$4:$C$2662&gt;=D$4)*(Diário!$C$4:$C$2662&lt;=EOMONTH(D$4,0))*(Diário!$F$4:$F$2662))
+SUMPRODUCT(('Comp.'!$D$5:$D$402=$B101)*('Comp.'!$B$5:$B$402&gt;=D$4)*('Comp.'!$B$5:$B$402&lt;=EOMONTH(D$4,0))*('Comp.'!$E$5:$E$402))</f>
        <v>0</v>
      </c>
      <c r="E101" s="11">
        <f>SUMPRODUCT((Diário!$E$4:$E$2662='Analítico Cp.'!$B101)*(Diário!$C$4:$C$2662&gt;=E$4)*(Diário!$C$4:$C$2662&lt;=EOMONTH(E$4,0))*(Diário!$F$4:$F$2662))
+SUMPRODUCT(('Comp.'!$D$5:$D$402=$B101)*('Comp.'!$B$5:$B$402&gt;=E$4)*('Comp.'!$B$5:$B$402&lt;=EOMONTH(E$4,0))*('Comp.'!$E$5:$E$402))</f>
        <v>0</v>
      </c>
      <c r="F101" s="11">
        <f>SUMPRODUCT((Diário!$E$4:$E$2662='Analítico Cp.'!$B101)*(Diário!$C$4:$C$2662&gt;=F$4)*(Diário!$C$4:$C$2662&lt;=EOMONTH(F$4,0))*(Diário!$F$4:$F$2662))
+SUMPRODUCT(('Comp.'!$D$5:$D$402=$B101)*('Comp.'!$B$5:$B$402&gt;=F$4)*('Comp.'!$B$5:$B$402&lt;=EOMONTH(F$4,0))*('Comp.'!$E$5:$E$402))</f>
        <v>0</v>
      </c>
      <c r="G101" s="11">
        <f>SUMPRODUCT((Diário!$E$4:$E$2662='Analítico Cp.'!$B101)*(Diário!$C$4:$C$2662&gt;=G$4)*(Diário!$C$4:$C$2662&lt;=EOMONTH(G$4,0))*(Diário!$F$4:$F$2662))
+SUMPRODUCT(('Comp.'!$D$5:$D$402=$B101)*('Comp.'!$B$5:$B$402&gt;=G$4)*('Comp.'!$B$5:$B$402&lt;=EOMONTH(G$4,0))*('Comp.'!$E$5:$E$402))</f>
        <v>0</v>
      </c>
      <c r="H101" s="11">
        <f>SUMPRODUCT((Diário!$E$4:$E$2662='Analítico Cp.'!$B101)*(Diário!$C$4:$C$2662&gt;=H$4)*(Diário!$C$4:$C$2662&lt;=EOMONTH(H$4,0))*(Diário!$F$4:$F$2662))
+SUMPRODUCT(('Comp.'!$D$5:$D$402=$B101)*('Comp.'!$B$5:$B$402&gt;=H$4)*('Comp.'!$B$5:$B$402&lt;=EOMONTH(H$4,0))*('Comp.'!$E$5:$E$402))</f>
        <v>0</v>
      </c>
      <c r="I101" s="11">
        <f>SUMPRODUCT((Diário!$E$4:$E$2662='Analítico Cp.'!$B101)*(Diário!$C$4:$C$2662&gt;=I$4)*(Diário!$C$4:$C$2662&lt;=EOMONTH(I$4,0))*(Diário!$F$4:$F$2662))
+SUMPRODUCT(('Comp.'!$D$5:$D$402=$B101)*('Comp.'!$B$5:$B$402&gt;=I$4)*('Comp.'!$B$5:$B$402&lt;=EOMONTH(I$4,0))*('Comp.'!$E$5:$E$402))</f>
        <v>0</v>
      </c>
      <c r="J101" s="11">
        <f>SUMPRODUCT((Diário!$E$4:$E$2662='Analítico Cp.'!$B101)*(Diário!$C$4:$C$2662&gt;=J$4)*(Diário!$C$4:$C$2662&lt;=EOMONTH(J$4,0))*(Diário!$F$4:$F$2662))
+SUMPRODUCT(('Comp.'!$D$5:$D$402=$B101)*('Comp.'!$B$5:$B$402&gt;=J$4)*('Comp.'!$B$5:$B$402&lt;=EOMONTH(J$4,0))*('Comp.'!$E$5:$E$402))</f>
        <v>0</v>
      </c>
      <c r="K101" s="11">
        <f>SUMPRODUCT((Diário!$E$4:$E$2662='Analítico Cp.'!$B101)*(Diário!$C$4:$C$2662&gt;=K$4)*(Diário!$C$4:$C$2662&lt;=EOMONTH(K$4,0))*(Diário!$F$4:$F$2662))
+SUMPRODUCT(('Comp.'!$D$5:$D$402=$B101)*('Comp.'!$B$5:$B$402&gt;=K$4)*('Comp.'!$B$5:$B$402&lt;=EOMONTH(K$4,0))*('Comp.'!$E$5:$E$402))</f>
        <v>0</v>
      </c>
      <c r="L101" s="11">
        <f>SUMPRODUCT((Diário!$E$4:$E$2662='Analítico Cp.'!$B101)*(Diário!$C$4:$C$2662&gt;=L$4)*(Diário!$C$4:$C$2662&lt;=EOMONTH(L$4,0))*(Diário!$F$4:$F$2662))
+SUMPRODUCT(('Comp.'!$D$5:$D$402=$B101)*('Comp.'!$B$5:$B$402&gt;=L$4)*('Comp.'!$B$5:$B$402&lt;=EOMONTH(L$4,0))*('Comp.'!$E$5:$E$402))</f>
        <v>0</v>
      </c>
      <c r="M101" s="11">
        <f>SUMPRODUCT((Diário!$E$4:$E$2662='Analítico Cp.'!$B101)*(Diário!$C$4:$C$2662&gt;=M$4)*(Diário!$C$4:$C$2662&lt;=EOMONTH(M$4,0))*(Diário!$F$4:$F$2662))
+SUMPRODUCT(('Comp.'!$D$5:$D$402=$B101)*('Comp.'!$B$5:$B$402&gt;=M$4)*('Comp.'!$B$5:$B$402&lt;=EOMONTH(M$4,0))*('Comp.'!$E$5:$E$402))</f>
        <v>0</v>
      </c>
      <c r="N101" s="11">
        <f>SUMPRODUCT((Diário!$E$4:$E$2662='Analítico Cp.'!$B101)*(Diário!$C$4:$C$2662&gt;=N$4)*(Diário!$C$4:$C$2662&lt;=EOMONTH(N$4,0))*(Diário!$F$4:$F$2662))
+SUMPRODUCT(('Comp.'!$D$5:$D$402=$B101)*('Comp.'!$B$5:$B$402&gt;=N$4)*('Comp.'!$B$5:$B$402&lt;=EOMONTH(N$4,0))*('Comp.'!$E$5:$E$402))</f>
        <v>0</v>
      </c>
      <c r="O101" s="12">
        <f t="shared" si="14"/>
        <v>0</v>
      </c>
      <c r="P101" s="95">
        <f t="shared" si="15"/>
        <v>0</v>
      </c>
    </row>
    <row r="102" spans="1:16" ht="23.25" customHeight="1">
      <c r="A102" s="40" t="s">
        <v>186</v>
      </c>
      <c r="B102" s="60" t="s">
        <v>86</v>
      </c>
      <c r="C102" s="11">
        <f>SUMPRODUCT((Diário!$E$4:$E$2662='Analítico Cp.'!$B102)*(Diário!$C$4:$C$2662&gt;=C$4)*(Diário!$C$4:$C$2662&lt;=EOMONTH(C$4,0))*(Diário!$F$4:$F$2662))
+SUMPRODUCT(('Comp.'!$D$5:$D$402=$B102)*('Comp.'!$B$5:$B$402&gt;=C$4)*('Comp.'!$B$5:$B$402&lt;=EOMONTH(C$4,0))*('Comp.'!$E$5:$E$402))</f>
        <v>0</v>
      </c>
      <c r="D102" s="11">
        <f>SUMPRODUCT((Diário!$E$4:$E$2662='Analítico Cp.'!$B102)*(Diário!$C$4:$C$2662&gt;=D$4)*(Diário!$C$4:$C$2662&lt;=EOMONTH(D$4,0))*(Diário!$F$4:$F$2662))
+SUMPRODUCT(('Comp.'!$D$5:$D$402=$B102)*('Comp.'!$B$5:$B$402&gt;=D$4)*('Comp.'!$B$5:$B$402&lt;=EOMONTH(D$4,0))*('Comp.'!$E$5:$E$402))</f>
        <v>0</v>
      </c>
      <c r="E102" s="11">
        <f>SUMPRODUCT((Diário!$E$4:$E$2662='Analítico Cp.'!$B102)*(Diário!$C$4:$C$2662&gt;=E$4)*(Diário!$C$4:$C$2662&lt;=EOMONTH(E$4,0))*(Diário!$F$4:$F$2662))
+SUMPRODUCT(('Comp.'!$D$5:$D$402=$B102)*('Comp.'!$B$5:$B$402&gt;=E$4)*('Comp.'!$B$5:$B$402&lt;=EOMONTH(E$4,0))*('Comp.'!$E$5:$E$402))</f>
        <v>0</v>
      </c>
      <c r="F102" s="11">
        <f>SUMPRODUCT((Diário!$E$4:$E$2662='Analítico Cp.'!$B102)*(Diário!$C$4:$C$2662&gt;=F$4)*(Diário!$C$4:$C$2662&lt;=EOMONTH(F$4,0))*(Diário!$F$4:$F$2662))
+SUMPRODUCT(('Comp.'!$D$5:$D$402=$B102)*('Comp.'!$B$5:$B$402&gt;=F$4)*('Comp.'!$B$5:$B$402&lt;=EOMONTH(F$4,0))*('Comp.'!$E$5:$E$402))</f>
        <v>0</v>
      </c>
      <c r="G102" s="11">
        <f>SUMPRODUCT((Diário!$E$4:$E$2662='Analítico Cp.'!$B102)*(Diário!$C$4:$C$2662&gt;=G$4)*(Diário!$C$4:$C$2662&lt;=EOMONTH(G$4,0))*(Diário!$F$4:$F$2662))
+SUMPRODUCT(('Comp.'!$D$5:$D$402=$B102)*('Comp.'!$B$5:$B$402&gt;=G$4)*('Comp.'!$B$5:$B$402&lt;=EOMONTH(G$4,0))*('Comp.'!$E$5:$E$402))</f>
        <v>0</v>
      </c>
      <c r="H102" s="11">
        <f>SUMPRODUCT((Diário!$E$4:$E$2662='Analítico Cp.'!$B102)*(Diário!$C$4:$C$2662&gt;=H$4)*(Diário!$C$4:$C$2662&lt;=EOMONTH(H$4,0))*(Diário!$F$4:$F$2662))
+SUMPRODUCT(('Comp.'!$D$5:$D$402=$B102)*('Comp.'!$B$5:$B$402&gt;=H$4)*('Comp.'!$B$5:$B$402&lt;=EOMONTH(H$4,0))*('Comp.'!$E$5:$E$402))</f>
        <v>0</v>
      </c>
      <c r="I102" s="11">
        <f>SUMPRODUCT((Diário!$E$4:$E$2662='Analítico Cp.'!$B102)*(Diário!$C$4:$C$2662&gt;=I$4)*(Diário!$C$4:$C$2662&lt;=EOMONTH(I$4,0))*(Diário!$F$4:$F$2662))
+SUMPRODUCT(('Comp.'!$D$5:$D$402=$B102)*('Comp.'!$B$5:$B$402&gt;=I$4)*('Comp.'!$B$5:$B$402&lt;=EOMONTH(I$4,0))*('Comp.'!$E$5:$E$402))</f>
        <v>0</v>
      </c>
      <c r="J102" s="11">
        <f>SUMPRODUCT((Diário!$E$4:$E$2662='Analítico Cp.'!$B102)*(Diário!$C$4:$C$2662&gt;=J$4)*(Diário!$C$4:$C$2662&lt;=EOMONTH(J$4,0))*(Diário!$F$4:$F$2662))
+SUMPRODUCT(('Comp.'!$D$5:$D$402=$B102)*('Comp.'!$B$5:$B$402&gt;=J$4)*('Comp.'!$B$5:$B$402&lt;=EOMONTH(J$4,0))*('Comp.'!$E$5:$E$402))</f>
        <v>0</v>
      </c>
      <c r="K102" s="11">
        <f>SUMPRODUCT((Diário!$E$4:$E$2662='Analítico Cp.'!$B102)*(Diário!$C$4:$C$2662&gt;=K$4)*(Diário!$C$4:$C$2662&lt;=EOMONTH(K$4,0))*(Diário!$F$4:$F$2662))
+SUMPRODUCT(('Comp.'!$D$5:$D$402=$B102)*('Comp.'!$B$5:$B$402&gt;=K$4)*('Comp.'!$B$5:$B$402&lt;=EOMONTH(K$4,0))*('Comp.'!$E$5:$E$402))</f>
        <v>0</v>
      </c>
      <c r="L102" s="11">
        <f>SUMPRODUCT((Diário!$E$4:$E$2662='Analítico Cp.'!$B102)*(Diário!$C$4:$C$2662&gt;=L$4)*(Diário!$C$4:$C$2662&lt;=EOMONTH(L$4,0))*(Diário!$F$4:$F$2662))
+SUMPRODUCT(('Comp.'!$D$5:$D$402=$B102)*('Comp.'!$B$5:$B$402&gt;=L$4)*('Comp.'!$B$5:$B$402&lt;=EOMONTH(L$4,0))*('Comp.'!$E$5:$E$402))</f>
        <v>0</v>
      </c>
      <c r="M102" s="11">
        <f>SUMPRODUCT((Diário!$E$4:$E$2662='Analítico Cp.'!$B102)*(Diário!$C$4:$C$2662&gt;=M$4)*(Diário!$C$4:$C$2662&lt;=EOMONTH(M$4,0))*(Diário!$F$4:$F$2662))
+SUMPRODUCT(('Comp.'!$D$5:$D$402=$B102)*('Comp.'!$B$5:$B$402&gt;=M$4)*('Comp.'!$B$5:$B$402&lt;=EOMONTH(M$4,0))*('Comp.'!$E$5:$E$402))</f>
        <v>0</v>
      </c>
      <c r="N102" s="11">
        <f>SUMPRODUCT((Diário!$E$4:$E$2662='Analítico Cp.'!$B102)*(Diário!$C$4:$C$2662&gt;=N$4)*(Diário!$C$4:$C$2662&lt;=EOMONTH(N$4,0))*(Diário!$F$4:$F$2662))
+SUMPRODUCT(('Comp.'!$D$5:$D$402=$B102)*('Comp.'!$B$5:$B$402&gt;=N$4)*('Comp.'!$B$5:$B$402&lt;=EOMONTH(N$4,0))*('Comp.'!$E$5:$E$402))</f>
        <v>0</v>
      </c>
      <c r="O102" s="12">
        <f t="shared" si="14"/>
        <v>0</v>
      </c>
      <c r="P102" s="95">
        <f t="shared" si="15"/>
        <v>0</v>
      </c>
    </row>
    <row r="103" spans="1:16" ht="23.25" customHeight="1">
      <c r="A103" s="40" t="s">
        <v>187</v>
      </c>
      <c r="B103" s="60" t="s">
        <v>87</v>
      </c>
      <c r="C103" s="11">
        <f>SUMPRODUCT((Diário!$E$4:$E$2662='Analítico Cp.'!$B103)*(Diário!$C$4:$C$2662&gt;=C$4)*(Diário!$C$4:$C$2662&lt;=EOMONTH(C$4,0))*(Diário!$F$4:$F$2662))
+SUMPRODUCT(('Comp.'!$D$5:$D$402=$B103)*('Comp.'!$B$5:$B$402&gt;=C$4)*('Comp.'!$B$5:$B$402&lt;=EOMONTH(C$4,0))*('Comp.'!$E$5:$E$402))</f>
        <v>1386.34</v>
      </c>
      <c r="D103" s="11">
        <f>SUMPRODUCT((Diário!$E$4:$E$2662='Analítico Cp.'!$B103)*(Diário!$C$4:$C$2662&gt;=D$4)*(Diário!$C$4:$C$2662&lt;=EOMONTH(D$4,0))*(Diário!$F$4:$F$2662))
+SUMPRODUCT(('Comp.'!$D$5:$D$402=$B103)*('Comp.'!$B$5:$B$402&gt;=D$4)*('Comp.'!$B$5:$B$402&lt;=EOMONTH(D$4,0))*('Comp.'!$E$5:$E$402))</f>
        <v>2150.34</v>
      </c>
      <c r="E103" s="11">
        <f>SUMPRODUCT((Diário!$E$4:$E$2662='Analítico Cp.'!$B103)*(Diário!$C$4:$C$2662&gt;=E$4)*(Diário!$C$4:$C$2662&lt;=EOMONTH(E$4,0))*(Diário!$F$4:$F$2662))
+SUMPRODUCT(('Comp.'!$D$5:$D$402=$B103)*('Comp.'!$B$5:$B$402&gt;=E$4)*('Comp.'!$B$5:$B$402&lt;=EOMONTH(E$4,0))*('Comp.'!$E$5:$E$402))</f>
        <v>1386.34</v>
      </c>
      <c r="F103" s="11">
        <f>SUMPRODUCT((Diário!$E$4:$E$2662='Analítico Cp.'!$B103)*(Diário!$C$4:$C$2662&gt;=F$4)*(Diário!$C$4:$C$2662&lt;=EOMONTH(F$4,0))*(Diário!$F$4:$F$2662))
+SUMPRODUCT(('Comp.'!$D$5:$D$402=$B103)*('Comp.'!$B$5:$B$402&gt;=F$4)*('Comp.'!$B$5:$B$402&lt;=EOMONTH(F$4,0))*('Comp.'!$E$5:$E$402))</f>
        <v>3816.41</v>
      </c>
      <c r="G103" s="11">
        <f>SUMPRODUCT((Diário!$E$4:$E$2662='Analítico Cp.'!$B103)*(Diário!$C$4:$C$2662&gt;=G$4)*(Diário!$C$4:$C$2662&lt;=EOMONTH(G$4,0))*(Diário!$F$4:$F$2662))
+SUMPRODUCT(('Comp.'!$D$5:$D$402=$B103)*('Comp.'!$B$5:$B$402&gt;=G$4)*('Comp.'!$B$5:$B$402&lt;=EOMONTH(G$4,0))*('Comp.'!$E$5:$E$402))</f>
        <v>5097.68</v>
      </c>
      <c r="H103" s="11">
        <f>SUMPRODUCT((Diário!$E$4:$E$2662='Analítico Cp.'!$B103)*(Diário!$C$4:$C$2662&gt;=H$4)*(Diário!$C$4:$C$2662&lt;=EOMONTH(H$4,0))*(Diário!$F$4:$F$2662))
+SUMPRODUCT(('Comp.'!$D$5:$D$402=$B103)*('Comp.'!$B$5:$B$402&gt;=H$4)*('Comp.'!$B$5:$B$402&lt;=EOMONTH(H$4,0))*('Comp.'!$E$5:$E$402))</f>
        <v>0</v>
      </c>
      <c r="I103" s="11">
        <f>SUMPRODUCT((Diário!$E$4:$E$2662='Analítico Cp.'!$B103)*(Diário!$C$4:$C$2662&gt;=I$4)*(Diário!$C$4:$C$2662&lt;=EOMONTH(I$4,0))*(Diário!$F$4:$F$2662))
+SUMPRODUCT(('Comp.'!$D$5:$D$402=$B103)*('Comp.'!$B$5:$B$402&gt;=I$4)*('Comp.'!$B$5:$B$402&lt;=EOMONTH(I$4,0))*('Comp.'!$E$5:$E$402))</f>
        <v>0</v>
      </c>
      <c r="J103" s="11">
        <f>SUMPRODUCT((Diário!$E$4:$E$2662='Analítico Cp.'!$B103)*(Diário!$C$4:$C$2662&gt;=J$4)*(Diário!$C$4:$C$2662&lt;=EOMONTH(J$4,0))*(Diário!$F$4:$F$2662))
+SUMPRODUCT(('Comp.'!$D$5:$D$402=$B103)*('Comp.'!$B$5:$B$402&gt;=J$4)*('Comp.'!$B$5:$B$402&lt;=EOMONTH(J$4,0))*('Comp.'!$E$5:$E$402))</f>
        <v>0</v>
      </c>
      <c r="K103" s="11">
        <f>SUMPRODUCT((Diário!$E$4:$E$2662='Analítico Cp.'!$B103)*(Diário!$C$4:$C$2662&gt;=K$4)*(Diário!$C$4:$C$2662&lt;=EOMONTH(K$4,0))*(Diário!$F$4:$F$2662))
+SUMPRODUCT(('Comp.'!$D$5:$D$402=$B103)*('Comp.'!$B$5:$B$402&gt;=K$4)*('Comp.'!$B$5:$B$402&lt;=EOMONTH(K$4,0))*('Comp.'!$E$5:$E$402))</f>
        <v>0</v>
      </c>
      <c r="L103" s="11">
        <f>SUMPRODUCT((Diário!$E$4:$E$2662='Analítico Cp.'!$B103)*(Diário!$C$4:$C$2662&gt;=L$4)*(Diário!$C$4:$C$2662&lt;=EOMONTH(L$4,0))*(Diário!$F$4:$F$2662))
+SUMPRODUCT(('Comp.'!$D$5:$D$402=$B103)*('Comp.'!$B$5:$B$402&gt;=L$4)*('Comp.'!$B$5:$B$402&lt;=EOMONTH(L$4,0))*('Comp.'!$E$5:$E$402))</f>
        <v>0</v>
      </c>
      <c r="M103" s="11">
        <f>SUMPRODUCT((Diário!$E$4:$E$2662='Analítico Cp.'!$B103)*(Diário!$C$4:$C$2662&gt;=M$4)*(Diário!$C$4:$C$2662&lt;=EOMONTH(M$4,0))*(Diário!$F$4:$F$2662))
+SUMPRODUCT(('Comp.'!$D$5:$D$402=$B103)*('Comp.'!$B$5:$B$402&gt;=M$4)*('Comp.'!$B$5:$B$402&lt;=EOMONTH(M$4,0))*('Comp.'!$E$5:$E$402))</f>
        <v>0</v>
      </c>
      <c r="N103" s="11">
        <f>SUMPRODUCT((Diário!$E$4:$E$2662='Analítico Cp.'!$B103)*(Diário!$C$4:$C$2662&gt;=N$4)*(Diário!$C$4:$C$2662&lt;=EOMONTH(N$4,0))*(Diário!$F$4:$F$2662))
+SUMPRODUCT(('Comp.'!$D$5:$D$402=$B103)*('Comp.'!$B$5:$B$402&gt;=N$4)*('Comp.'!$B$5:$B$402&lt;=EOMONTH(N$4,0))*('Comp.'!$E$5:$E$402))</f>
        <v>0</v>
      </c>
      <c r="O103" s="12">
        <f t="shared" si="14"/>
        <v>13837.11</v>
      </c>
      <c r="P103" s="95">
        <f t="shared" si="15"/>
        <v>6.9297430319768924E-4</v>
      </c>
    </row>
    <row r="104" spans="1:16" ht="23.25" customHeight="1">
      <c r="A104" s="40" t="s">
        <v>188</v>
      </c>
      <c r="B104" s="60" t="s">
        <v>57</v>
      </c>
      <c r="C104" s="11">
        <f>SUMPRODUCT((Diário!$E$4:$E$2662='Analítico Cp.'!$B104)*(Diário!$C$4:$C$2662&gt;=C$4)*(Diário!$C$4:$C$2662&lt;=EOMONTH(C$4,0))*(Diário!$F$4:$F$2662))
+SUMPRODUCT(('Comp.'!$D$5:$D$402=$B104)*('Comp.'!$B$5:$B$402&gt;=C$4)*('Comp.'!$B$5:$B$402&lt;=EOMONTH(C$4,0))*('Comp.'!$E$5:$E$402))</f>
        <v>2478.36</v>
      </c>
      <c r="D104" s="11">
        <f>SUMPRODUCT((Diário!$E$4:$E$2662='Analítico Cp.'!$B104)*(Diário!$C$4:$C$2662&gt;=D$4)*(Diário!$C$4:$C$2662&lt;=EOMONTH(D$4,0))*(Diário!$F$4:$F$2662))
+SUMPRODUCT(('Comp.'!$D$5:$D$402=$B104)*('Comp.'!$B$5:$B$402&gt;=D$4)*('Comp.'!$B$5:$B$402&lt;=EOMONTH(D$4,0))*('Comp.'!$E$5:$E$402))</f>
        <v>103.56</v>
      </c>
      <c r="E104" s="11">
        <f>SUMPRODUCT((Diário!$E$4:$E$2662='Analítico Cp.'!$B104)*(Diário!$C$4:$C$2662&gt;=E$4)*(Diário!$C$4:$C$2662&lt;=EOMONTH(E$4,0))*(Diário!$F$4:$F$2662))
+SUMPRODUCT(('Comp.'!$D$5:$D$402=$B104)*('Comp.'!$B$5:$B$402&gt;=E$4)*('Comp.'!$B$5:$B$402&lt;=EOMONTH(E$4,0))*('Comp.'!$E$5:$E$402))</f>
        <v>382.4</v>
      </c>
      <c r="F104" s="11">
        <f>SUMPRODUCT((Diário!$E$4:$E$2662='Analítico Cp.'!$B104)*(Diário!$C$4:$C$2662&gt;=F$4)*(Diário!$C$4:$C$2662&lt;=EOMONTH(F$4,0))*(Diário!$F$4:$F$2662))
+SUMPRODUCT(('Comp.'!$D$5:$D$402=$B104)*('Comp.'!$B$5:$B$402&gt;=F$4)*('Comp.'!$B$5:$B$402&lt;=EOMONTH(F$4,0))*('Comp.'!$E$5:$E$402))</f>
        <v>1563.04</v>
      </c>
      <c r="G104" s="11">
        <f>SUMPRODUCT((Diário!$E$4:$E$2662='Analítico Cp.'!$B104)*(Diário!$C$4:$C$2662&gt;=G$4)*(Diário!$C$4:$C$2662&lt;=EOMONTH(G$4,0))*(Diário!$F$4:$F$2662))
+SUMPRODUCT(('Comp.'!$D$5:$D$402=$B104)*('Comp.'!$B$5:$B$402&gt;=G$4)*('Comp.'!$B$5:$B$402&lt;=EOMONTH(G$4,0))*('Comp.'!$E$5:$E$402))</f>
        <v>1584.38</v>
      </c>
      <c r="H104" s="11">
        <f>SUMPRODUCT((Diário!$E$4:$E$2662='Analítico Cp.'!$B104)*(Diário!$C$4:$C$2662&gt;=H$4)*(Diário!$C$4:$C$2662&lt;=EOMONTH(H$4,0))*(Diário!$F$4:$F$2662))
+SUMPRODUCT(('Comp.'!$D$5:$D$402=$B104)*('Comp.'!$B$5:$B$402&gt;=H$4)*('Comp.'!$B$5:$B$402&lt;=EOMONTH(H$4,0))*('Comp.'!$E$5:$E$402))</f>
        <v>0</v>
      </c>
      <c r="I104" s="11">
        <f>SUMPRODUCT((Diário!$E$4:$E$2662='Analítico Cp.'!$B104)*(Diário!$C$4:$C$2662&gt;=I$4)*(Diário!$C$4:$C$2662&lt;=EOMONTH(I$4,0))*(Diário!$F$4:$F$2662))
+SUMPRODUCT(('Comp.'!$D$5:$D$402=$B104)*('Comp.'!$B$5:$B$402&gt;=I$4)*('Comp.'!$B$5:$B$402&lt;=EOMONTH(I$4,0))*('Comp.'!$E$5:$E$402))</f>
        <v>0</v>
      </c>
      <c r="J104" s="11">
        <f>SUMPRODUCT((Diário!$E$4:$E$2662='Analítico Cp.'!$B104)*(Diário!$C$4:$C$2662&gt;=J$4)*(Diário!$C$4:$C$2662&lt;=EOMONTH(J$4,0))*(Diário!$F$4:$F$2662))
+SUMPRODUCT(('Comp.'!$D$5:$D$402=$B104)*('Comp.'!$B$5:$B$402&gt;=J$4)*('Comp.'!$B$5:$B$402&lt;=EOMONTH(J$4,0))*('Comp.'!$E$5:$E$402))</f>
        <v>0</v>
      </c>
      <c r="K104" s="11">
        <f>SUMPRODUCT((Diário!$E$4:$E$2662='Analítico Cp.'!$B104)*(Diário!$C$4:$C$2662&gt;=K$4)*(Diário!$C$4:$C$2662&lt;=EOMONTH(K$4,0))*(Diário!$F$4:$F$2662))
+SUMPRODUCT(('Comp.'!$D$5:$D$402=$B104)*('Comp.'!$B$5:$B$402&gt;=K$4)*('Comp.'!$B$5:$B$402&lt;=EOMONTH(K$4,0))*('Comp.'!$E$5:$E$402))</f>
        <v>0</v>
      </c>
      <c r="L104" s="11">
        <f>SUMPRODUCT((Diário!$E$4:$E$2662='Analítico Cp.'!$B104)*(Diário!$C$4:$C$2662&gt;=L$4)*(Diário!$C$4:$C$2662&lt;=EOMONTH(L$4,0))*(Diário!$F$4:$F$2662))
+SUMPRODUCT(('Comp.'!$D$5:$D$402=$B104)*('Comp.'!$B$5:$B$402&gt;=L$4)*('Comp.'!$B$5:$B$402&lt;=EOMONTH(L$4,0))*('Comp.'!$E$5:$E$402))</f>
        <v>0</v>
      </c>
      <c r="M104" s="11">
        <f>SUMPRODUCT((Diário!$E$4:$E$2662='Analítico Cp.'!$B104)*(Diário!$C$4:$C$2662&gt;=M$4)*(Diário!$C$4:$C$2662&lt;=EOMONTH(M$4,0))*(Diário!$F$4:$F$2662))
+SUMPRODUCT(('Comp.'!$D$5:$D$402=$B104)*('Comp.'!$B$5:$B$402&gt;=M$4)*('Comp.'!$B$5:$B$402&lt;=EOMONTH(M$4,0))*('Comp.'!$E$5:$E$402))</f>
        <v>0</v>
      </c>
      <c r="N104" s="11">
        <f>SUMPRODUCT((Diário!$E$4:$E$2662='Analítico Cp.'!$B104)*(Diário!$C$4:$C$2662&gt;=N$4)*(Diário!$C$4:$C$2662&lt;=EOMONTH(N$4,0))*(Diário!$F$4:$F$2662))
+SUMPRODUCT(('Comp.'!$D$5:$D$402=$B104)*('Comp.'!$B$5:$B$402&gt;=N$4)*('Comp.'!$B$5:$B$402&lt;=EOMONTH(N$4,0))*('Comp.'!$E$5:$E$402))</f>
        <v>0</v>
      </c>
      <c r="O104" s="12">
        <f t="shared" si="14"/>
        <v>6111.7400000000007</v>
      </c>
      <c r="P104" s="95">
        <f t="shared" si="15"/>
        <v>3.0608116635810843E-4</v>
      </c>
    </row>
    <row r="105" spans="1:16" ht="23.25" customHeight="1">
      <c r="A105" s="40" t="s">
        <v>190</v>
      </c>
      <c r="B105" s="60" t="s">
        <v>75</v>
      </c>
      <c r="C105" s="11">
        <f>SUMPRODUCT((Diário!$E$4:$E$2662='Analítico Cp.'!$B105)*(Diário!$C$4:$C$2662&gt;=C$4)*(Diário!$C$4:$C$2662&lt;=EOMONTH(C$4,0))*(Diário!$F$4:$F$2662))
+SUMPRODUCT(('Comp.'!$D$5:$D$402=$B105)*('Comp.'!$B$5:$B$402&gt;=C$4)*('Comp.'!$B$5:$B$402&lt;=EOMONTH(C$4,0))*('Comp.'!$E$5:$E$402))</f>
        <v>0</v>
      </c>
      <c r="D105" s="11">
        <f>SUMPRODUCT((Diário!$E$4:$E$2662='Analítico Cp.'!$B105)*(Diário!$C$4:$C$2662&gt;=D$4)*(Diário!$C$4:$C$2662&lt;=EOMONTH(D$4,0))*(Diário!$F$4:$F$2662))
+SUMPRODUCT(('Comp.'!$D$5:$D$402=$B105)*('Comp.'!$B$5:$B$402&gt;=D$4)*('Comp.'!$B$5:$B$402&lt;=EOMONTH(D$4,0))*('Comp.'!$E$5:$E$402))</f>
        <v>0</v>
      </c>
      <c r="E105" s="11">
        <f>SUMPRODUCT((Diário!$E$4:$E$2662='Analítico Cp.'!$B105)*(Diário!$C$4:$C$2662&gt;=E$4)*(Diário!$C$4:$C$2662&lt;=EOMONTH(E$4,0))*(Diário!$F$4:$F$2662))
+SUMPRODUCT(('Comp.'!$D$5:$D$402=$B105)*('Comp.'!$B$5:$B$402&gt;=E$4)*('Comp.'!$B$5:$B$402&lt;=EOMONTH(E$4,0))*('Comp.'!$E$5:$E$402))</f>
        <v>0</v>
      </c>
      <c r="F105" s="11">
        <f>SUMPRODUCT((Diário!$E$4:$E$2662='Analítico Cp.'!$B105)*(Diário!$C$4:$C$2662&gt;=F$4)*(Diário!$C$4:$C$2662&lt;=EOMONTH(F$4,0))*(Diário!$F$4:$F$2662))
+SUMPRODUCT(('Comp.'!$D$5:$D$402=$B105)*('Comp.'!$B$5:$B$402&gt;=F$4)*('Comp.'!$B$5:$B$402&lt;=EOMONTH(F$4,0))*('Comp.'!$E$5:$E$402))</f>
        <v>0</v>
      </c>
      <c r="G105" s="11">
        <f>SUMPRODUCT((Diário!$E$4:$E$2662='Analítico Cp.'!$B105)*(Diário!$C$4:$C$2662&gt;=G$4)*(Diário!$C$4:$C$2662&lt;=EOMONTH(G$4,0))*(Diário!$F$4:$F$2662))
+SUMPRODUCT(('Comp.'!$D$5:$D$402=$B105)*('Comp.'!$B$5:$B$402&gt;=G$4)*('Comp.'!$B$5:$B$402&lt;=EOMONTH(G$4,0))*('Comp.'!$E$5:$E$402))</f>
        <v>0</v>
      </c>
      <c r="H105" s="11">
        <f>SUMPRODUCT((Diário!$E$4:$E$2662='Analítico Cp.'!$B105)*(Diário!$C$4:$C$2662&gt;=H$4)*(Diário!$C$4:$C$2662&lt;=EOMONTH(H$4,0))*(Diário!$F$4:$F$2662))
+SUMPRODUCT(('Comp.'!$D$5:$D$402=$B105)*('Comp.'!$B$5:$B$402&gt;=H$4)*('Comp.'!$B$5:$B$402&lt;=EOMONTH(H$4,0))*('Comp.'!$E$5:$E$402))</f>
        <v>0</v>
      </c>
      <c r="I105" s="11">
        <f>SUMPRODUCT((Diário!$E$4:$E$2662='Analítico Cp.'!$B105)*(Diário!$C$4:$C$2662&gt;=I$4)*(Diário!$C$4:$C$2662&lt;=EOMONTH(I$4,0))*(Diário!$F$4:$F$2662))
+SUMPRODUCT(('Comp.'!$D$5:$D$402=$B105)*('Comp.'!$B$5:$B$402&gt;=I$4)*('Comp.'!$B$5:$B$402&lt;=EOMONTH(I$4,0))*('Comp.'!$E$5:$E$402))</f>
        <v>0</v>
      </c>
      <c r="J105" s="11">
        <f>SUMPRODUCT((Diário!$E$4:$E$2662='Analítico Cp.'!$B105)*(Diário!$C$4:$C$2662&gt;=J$4)*(Diário!$C$4:$C$2662&lt;=EOMONTH(J$4,0))*(Diário!$F$4:$F$2662))
+SUMPRODUCT(('Comp.'!$D$5:$D$402=$B105)*('Comp.'!$B$5:$B$402&gt;=J$4)*('Comp.'!$B$5:$B$402&lt;=EOMONTH(J$4,0))*('Comp.'!$E$5:$E$402))</f>
        <v>0</v>
      </c>
      <c r="K105" s="11">
        <f>SUMPRODUCT((Diário!$E$4:$E$2662='Analítico Cp.'!$B105)*(Diário!$C$4:$C$2662&gt;=K$4)*(Diário!$C$4:$C$2662&lt;=EOMONTH(K$4,0))*(Diário!$F$4:$F$2662))
+SUMPRODUCT(('Comp.'!$D$5:$D$402=$B105)*('Comp.'!$B$5:$B$402&gt;=K$4)*('Comp.'!$B$5:$B$402&lt;=EOMONTH(K$4,0))*('Comp.'!$E$5:$E$402))</f>
        <v>0</v>
      </c>
      <c r="L105" s="11">
        <f>SUMPRODUCT((Diário!$E$4:$E$2662='Analítico Cp.'!$B105)*(Diário!$C$4:$C$2662&gt;=L$4)*(Diário!$C$4:$C$2662&lt;=EOMONTH(L$4,0))*(Diário!$F$4:$F$2662))
+SUMPRODUCT(('Comp.'!$D$5:$D$402=$B105)*('Comp.'!$B$5:$B$402&gt;=L$4)*('Comp.'!$B$5:$B$402&lt;=EOMONTH(L$4,0))*('Comp.'!$E$5:$E$402))</f>
        <v>0</v>
      </c>
      <c r="M105" s="11">
        <f>SUMPRODUCT((Diário!$E$4:$E$2662='Analítico Cp.'!$B105)*(Diário!$C$4:$C$2662&gt;=M$4)*(Diário!$C$4:$C$2662&lt;=EOMONTH(M$4,0))*(Diário!$F$4:$F$2662))
+SUMPRODUCT(('Comp.'!$D$5:$D$402=$B105)*('Comp.'!$B$5:$B$402&gt;=M$4)*('Comp.'!$B$5:$B$402&lt;=EOMONTH(M$4,0))*('Comp.'!$E$5:$E$402))</f>
        <v>0</v>
      </c>
      <c r="N105" s="11">
        <f>SUMPRODUCT((Diário!$E$4:$E$2662='Analítico Cp.'!$B105)*(Diário!$C$4:$C$2662&gt;=N$4)*(Diário!$C$4:$C$2662&lt;=EOMONTH(N$4,0))*(Diário!$F$4:$F$2662))
+SUMPRODUCT(('Comp.'!$D$5:$D$402=$B105)*('Comp.'!$B$5:$B$402&gt;=N$4)*('Comp.'!$B$5:$B$402&lt;=EOMONTH(N$4,0))*('Comp.'!$E$5:$E$402))</f>
        <v>0</v>
      </c>
      <c r="O105" s="12">
        <f t="shared" si="14"/>
        <v>0</v>
      </c>
      <c r="P105" s="95">
        <f t="shared" si="15"/>
        <v>0</v>
      </c>
    </row>
    <row r="106" spans="1:16" ht="23.25" customHeight="1">
      <c r="A106" s="40" t="s">
        <v>191</v>
      </c>
      <c r="B106" s="60" t="s">
        <v>189</v>
      </c>
      <c r="C106" s="11">
        <f>SUMPRODUCT((Diário!$E$4:$E$2662='Analítico Cp.'!$B106)*(Diário!$C$4:$C$2662&gt;=C$4)*(Diário!$C$4:$C$2662&lt;=EOMONTH(C$4,0))*(Diário!$F$4:$F$2662))
+SUMPRODUCT(('Comp.'!$D$5:$D$402=$B106)*('Comp.'!$B$5:$B$402&gt;=C$4)*('Comp.'!$B$5:$B$402&lt;=EOMONTH(C$4,0))*('Comp.'!$E$5:$E$402))</f>
        <v>0</v>
      </c>
      <c r="D106" s="11">
        <f>SUMPRODUCT((Diário!$E$4:$E$2662='Analítico Cp.'!$B106)*(Diário!$C$4:$C$2662&gt;=D$4)*(Diário!$C$4:$C$2662&lt;=EOMONTH(D$4,0))*(Diário!$F$4:$F$2662))
+SUMPRODUCT(('Comp.'!$D$5:$D$402=$B106)*('Comp.'!$B$5:$B$402&gt;=D$4)*('Comp.'!$B$5:$B$402&lt;=EOMONTH(D$4,0))*('Comp.'!$E$5:$E$402))</f>
        <v>0</v>
      </c>
      <c r="E106" s="11">
        <f>SUMPRODUCT((Diário!$E$4:$E$2662='Analítico Cp.'!$B106)*(Diário!$C$4:$C$2662&gt;=E$4)*(Diário!$C$4:$C$2662&lt;=EOMONTH(E$4,0))*(Diário!$F$4:$F$2662))
+SUMPRODUCT(('Comp.'!$D$5:$D$402=$B106)*('Comp.'!$B$5:$B$402&gt;=E$4)*('Comp.'!$B$5:$B$402&lt;=EOMONTH(E$4,0))*('Comp.'!$E$5:$E$402))</f>
        <v>0</v>
      </c>
      <c r="F106" s="11">
        <f>SUMPRODUCT((Diário!$E$4:$E$2662='Analítico Cp.'!$B106)*(Diário!$C$4:$C$2662&gt;=F$4)*(Diário!$C$4:$C$2662&lt;=EOMONTH(F$4,0))*(Diário!$F$4:$F$2662))
+SUMPRODUCT(('Comp.'!$D$5:$D$402=$B106)*('Comp.'!$B$5:$B$402&gt;=F$4)*('Comp.'!$B$5:$B$402&lt;=EOMONTH(F$4,0))*('Comp.'!$E$5:$E$402))</f>
        <v>0</v>
      </c>
      <c r="G106" s="11">
        <f>SUMPRODUCT((Diário!$E$4:$E$2662='Analítico Cp.'!$B106)*(Diário!$C$4:$C$2662&gt;=G$4)*(Diário!$C$4:$C$2662&lt;=EOMONTH(G$4,0))*(Diário!$F$4:$F$2662))
+SUMPRODUCT(('Comp.'!$D$5:$D$402=$B106)*('Comp.'!$B$5:$B$402&gt;=G$4)*('Comp.'!$B$5:$B$402&lt;=EOMONTH(G$4,0))*('Comp.'!$E$5:$E$402))</f>
        <v>0</v>
      </c>
      <c r="H106" s="11">
        <f>SUMPRODUCT((Diário!$E$4:$E$2662='Analítico Cp.'!$B106)*(Diário!$C$4:$C$2662&gt;=H$4)*(Diário!$C$4:$C$2662&lt;=EOMONTH(H$4,0))*(Diário!$F$4:$F$2662))
+SUMPRODUCT(('Comp.'!$D$5:$D$402=$B106)*('Comp.'!$B$5:$B$402&gt;=H$4)*('Comp.'!$B$5:$B$402&lt;=EOMONTH(H$4,0))*('Comp.'!$E$5:$E$402))</f>
        <v>0</v>
      </c>
      <c r="I106" s="11">
        <f>SUMPRODUCT((Diário!$E$4:$E$2662='Analítico Cp.'!$B106)*(Diário!$C$4:$C$2662&gt;=I$4)*(Diário!$C$4:$C$2662&lt;=EOMONTH(I$4,0))*(Diário!$F$4:$F$2662))
+SUMPRODUCT(('Comp.'!$D$5:$D$402=$B106)*('Comp.'!$B$5:$B$402&gt;=I$4)*('Comp.'!$B$5:$B$402&lt;=EOMONTH(I$4,0))*('Comp.'!$E$5:$E$402))</f>
        <v>0</v>
      </c>
      <c r="J106" s="11">
        <f>SUMPRODUCT((Diário!$E$4:$E$2662='Analítico Cp.'!$B106)*(Diário!$C$4:$C$2662&gt;=J$4)*(Diário!$C$4:$C$2662&lt;=EOMONTH(J$4,0))*(Diário!$F$4:$F$2662))
+SUMPRODUCT(('Comp.'!$D$5:$D$402=$B106)*('Comp.'!$B$5:$B$402&gt;=J$4)*('Comp.'!$B$5:$B$402&lt;=EOMONTH(J$4,0))*('Comp.'!$E$5:$E$402))</f>
        <v>0</v>
      </c>
      <c r="K106" s="11">
        <f>SUMPRODUCT((Diário!$E$4:$E$2662='Analítico Cp.'!$B106)*(Diário!$C$4:$C$2662&gt;=K$4)*(Diário!$C$4:$C$2662&lt;=EOMONTH(K$4,0))*(Diário!$F$4:$F$2662))
+SUMPRODUCT(('Comp.'!$D$5:$D$402=$B106)*('Comp.'!$B$5:$B$402&gt;=K$4)*('Comp.'!$B$5:$B$402&lt;=EOMONTH(K$4,0))*('Comp.'!$E$5:$E$402))</f>
        <v>0</v>
      </c>
      <c r="L106" s="11">
        <f>SUMPRODUCT((Diário!$E$4:$E$2662='Analítico Cp.'!$B106)*(Diário!$C$4:$C$2662&gt;=L$4)*(Diário!$C$4:$C$2662&lt;=EOMONTH(L$4,0))*(Diário!$F$4:$F$2662))
+SUMPRODUCT(('Comp.'!$D$5:$D$402=$B106)*('Comp.'!$B$5:$B$402&gt;=L$4)*('Comp.'!$B$5:$B$402&lt;=EOMONTH(L$4,0))*('Comp.'!$E$5:$E$402))</f>
        <v>0</v>
      </c>
      <c r="M106" s="11">
        <f>SUMPRODUCT((Diário!$E$4:$E$2662='Analítico Cp.'!$B106)*(Diário!$C$4:$C$2662&gt;=M$4)*(Diário!$C$4:$C$2662&lt;=EOMONTH(M$4,0))*(Diário!$F$4:$F$2662))
+SUMPRODUCT(('Comp.'!$D$5:$D$402=$B106)*('Comp.'!$B$5:$B$402&gt;=M$4)*('Comp.'!$B$5:$B$402&lt;=EOMONTH(M$4,0))*('Comp.'!$E$5:$E$402))</f>
        <v>0</v>
      </c>
      <c r="N106" s="11">
        <f>SUMPRODUCT((Diário!$E$4:$E$2662='Analítico Cp.'!$B106)*(Diário!$C$4:$C$2662&gt;=N$4)*(Diário!$C$4:$C$2662&lt;=EOMONTH(N$4,0))*(Diário!$F$4:$F$2662))
+SUMPRODUCT(('Comp.'!$D$5:$D$402=$B106)*('Comp.'!$B$5:$B$402&gt;=N$4)*('Comp.'!$B$5:$B$402&lt;=EOMONTH(N$4,0))*('Comp.'!$E$5:$E$402))</f>
        <v>0</v>
      </c>
      <c r="O106" s="12">
        <f t="shared" si="14"/>
        <v>0</v>
      </c>
      <c r="P106" s="95">
        <f t="shared" si="15"/>
        <v>0</v>
      </c>
    </row>
    <row r="107" spans="1:16" ht="23.25" customHeight="1">
      <c r="A107" s="40" t="s">
        <v>192</v>
      </c>
      <c r="B107" s="60" t="s">
        <v>79</v>
      </c>
      <c r="C107" s="11">
        <f>SUMPRODUCT((Diário!$E$4:$E$2662='Analítico Cp.'!$B107)*(Diário!$C$4:$C$2662&gt;=C$4)*(Diário!$C$4:$C$2662&lt;=EOMONTH(C$4,0))*(Diário!$F$4:$F$2662))
+SUMPRODUCT(('Comp.'!$D$5:$D$402=$B107)*('Comp.'!$B$5:$B$402&gt;=C$4)*('Comp.'!$B$5:$B$402&lt;=EOMONTH(C$4,0))*('Comp.'!$E$5:$E$402))</f>
        <v>0</v>
      </c>
      <c r="D107" s="11">
        <f>SUMPRODUCT((Diário!$E$4:$E$2662='Analítico Cp.'!$B107)*(Diário!$C$4:$C$2662&gt;=D$4)*(Diário!$C$4:$C$2662&lt;=EOMONTH(D$4,0))*(Diário!$F$4:$F$2662))
+SUMPRODUCT(('Comp.'!$D$5:$D$402=$B107)*('Comp.'!$B$5:$B$402&gt;=D$4)*('Comp.'!$B$5:$B$402&lt;=EOMONTH(D$4,0))*('Comp.'!$E$5:$E$402))</f>
        <v>0</v>
      </c>
      <c r="E107" s="11">
        <f>SUMPRODUCT((Diário!$E$4:$E$2662='Analítico Cp.'!$B107)*(Diário!$C$4:$C$2662&gt;=E$4)*(Diário!$C$4:$C$2662&lt;=EOMONTH(E$4,0))*(Diário!$F$4:$F$2662))
+SUMPRODUCT(('Comp.'!$D$5:$D$402=$B107)*('Comp.'!$B$5:$B$402&gt;=E$4)*('Comp.'!$B$5:$B$402&lt;=EOMONTH(E$4,0))*('Comp.'!$E$5:$E$402))</f>
        <v>0</v>
      </c>
      <c r="F107" s="11">
        <f>SUMPRODUCT((Diário!$E$4:$E$2662='Analítico Cp.'!$B107)*(Diário!$C$4:$C$2662&gt;=F$4)*(Diário!$C$4:$C$2662&lt;=EOMONTH(F$4,0))*(Diário!$F$4:$F$2662))
+SUMPRODUCT(('Comp.'!$D$5:$D$402=$B107)*('Comp.'!$B$5:$B$402&gt;=F$4)*('Comp.'!$B$5:$B$402&lt;=EOMONTH(F$4,0))*('Comp.'!$E$5:$E$402))</f>
        <v>0</v>
      </c>
      <c r="G107" s="11">
        <f>SUMPRODUCT((Diário!$E$4:$E$2662='Analítico Cp.'!$B107)*(Diário!$C$4:$C$2662&gt;=G$4)*(Diário!$C$4:$C$2662&lt;=EOMONTH(G$4,0))*(Diário!$F$4:$F$2662))
+SUMPRODUCT(('Comp.'!$D$5:$D$402=$B107)*('Comp.'!$B$5:$B$402&gt;=G$4)*('Comp.'!$B$5:$B$402&lt;=EOMONTH(G$4,0))*('Comp.'!$E$5:$E$402))</f>
        <v>0</v>
      </c>
      <c r="H107" s="11">
        <f>SUMPRODUCT((Diário!$E$4:$E$2662='Analítico Cp.'!$B107)*(Diário!$C$4:$C$2662&gt;=H$4)*(Diário!$C$4:$C$2662&lt;=EOMONTH(H$4,0))*(Diário!$F$4:$F$2662))
+SUMPRODUCT(('Comp.'!$D$5:$D$402=$B107)*('Comp.'!$B$5:$B$402&gt;=H$4)*('Comp.'!$B$5:$B$402&lt;=EOMONTH(H$4,0))*('Comp.'!$E$5:$E$402))</f>
        <v>0</v>
      </c>
      <c r="I107" s="11">
        <f>SUMPRODUCT((Diário!$E$4:$E$2662='Analítico Cp.'!$B107)*(Diário!$C$4:$C$2662&gt;=I$4)*(Diário!$C$4:$C$2662&lt;=EOMONTH(I$4,0))*(Diário!$F$4:$F$2662))
+SUMPRODUCT(('Comp.'!$D$5:$D$402=$B107)*('Comp.'!$B$5:$B$402&gt;=I$4)*('Comp.'!$B$5:$B$402&lt;=EOMONTH(I$4,0))*('Comp.'!$E$5:$E$402))</f>
        <v>0</v>
      </c>
      <c r="J107" s="11">
        <f>SUMPRODUCT((Diário!$E$4:$E$2662='Analítico Cp.'!$B107)*(Diário!$C$4:$C$2662&gt;=J$4)*(Diário!$C$4:$C$2662&lt;=EOMONTH(J$4,0))*(Diário!$F$4:$F$2662))
+SUMPRODUCT(('Comp.'!$D$5:$D$402=$B107)*('Comp.'!$B$5:$B$402&gt;=J$4)*('Comp.'!$B$5:$B$402&lt;=EOMONTH(J$4,0))*('Comp.'!$E$5:$E$402))</f>
        <v>0</v>
      </c>
      <c r="K107" s="11">
        <f>SUMPRODUCT((Diário!$E$4:$E$2662='Analítico Cp.'!$B107)*(Diário!$C$4:$C$2662&gt;=K$4)*(Diário!$C$4:$C$2662&lt;=EOMONTH(K$4,0))*(Diário!$F$4:$F$2662))
+SUMPRODUCT(('Comp.'!$D$5:$D$402=$B107)*('Comp.'!$B$5:$B$402&gt;=K$4)*('Comp.'!$B$5:$B$402&lt;=EOMONTH(K$4,0))*('Comp.'!$E$5:$E$402))</f>
        <v>0</v>
      </c>
      <c r="L107" s="11">
        <f>SUMPRODUCT((Diário!$E$4:$E$2662='Analítico Cp.'!$B107)*(Diário!$C$4:$C$2662&gt;=L$4)*(Diário!$C$4:$C$2662&lt;=EOMONTH(L$4,0))*(Diário!$F$4:$F$2662))
+SUMPRODUCT(('Comp.'!$D$5:$D$402=$B107)*('Comp.'!$B$5:$B$402&gt;=L$4)*('Comp.'!$B$5:$B$402&lt;=EOMONTH(L$4,0))*('Comp.'!$E$5:$E$402))</f>
        <v>0</v>
      </c>
      <c r="M107" s="11">
        <f>SUMPRODUCT((Diário!$E$4:$E$2662='Analítico Cp.'!$B107)*(Diário!$C$4:$C$2662&gt;=M$4)*(Diário!$C$4:$C$2662&lt;=EOMONTH(M$4,0))*(Diário!$F$4:$F$2662))
+SUMPRODUCT(('Comp.'!$D$5:$D$402=$B107)*('Comp.'!$B$5:$B$402&gt;=M$4)*('Comp.'!$B$5:$B$402&lt;=EOMONTH(M$4,0))*('Comp.'!$E$5:$E$402))</f>
        <v>0</v>
      </c>
      <c r="N107" s="11">
        <f>SUMPRODUCT((Diário!$E$4:$E$2662='Analítico Cp.'!$B107)*(Diário!$C$4:$C$2662&gt;=N$4)*(Diário!$C$4:$C$2662&lt;=EOMONTH(N$4,0))*(Diário!$F$4:$F$2662))
+SUMPRODUCT(('Comp.'!$D$5:$D$402=$B107)*('Comp.'!$B$5:$B$402&gt;=N$4)*('Comp.'!$B$5:$B$402&lt;=EOMONTH(N$4,0))*('Comp.'!$E$5:$E$402))</f>
        <v>0</v>
      </c>
      <c r="O107" s="12">
        <f t="shared" si="14"/>
        <v>0</v>
      </c>
      <c r="P107" s="95">
        <f t="shared" si="15"/>
        <v>0</v>
      </c>
    </row>
    <row r="108" spans="1:16" ht="23.25" customHeight="1">
      <c r="A108" s="40" t="s">
        <v>193</v>
      </c>
      <c r="B108" s="60" t="s">
        <v>71</v>
      </c>
      <c r="C108" s="11">
        <f>SUMPRODUCT((Diário!$E$4:$E$2662='Analítico Cp.'!$B108)*(Diário!$C$4:$C$2662&gt;=C$4)*(Diário!$C$4:$C$2662&lt;=EOMONTH(C$4,0))*(Diário!$F$4:$F$2662))
+SUMPRODUCT(('Comp.'!$D$5:$D$402=$B108)*('Comp.'!$B$5:$B$402&gt;=C$4)*('Comp.'!$B$5:$B$402&lt;=EOMONTH(C$4,0))*('Comp.'!$E$5:$E$402))</f>
        <v>0</v>
      </c>
      <c r="D108" s="11">
        <f>SUMPRODUCT((Diário!$E$4:$E$2662='Analítico Cp.'!$B108)*(Diário!$C$4:$C$2662&gt;=D$4)*(Diário!$C$4:$C$2662&lt;=EOMONTH(D$4,0))*(Diário!$F$4:$F$2662))
+SUMPRODUCT(('Comp.'!$D$5:$D$402=$B108)*('Comp.'!$B$5:$B$402&gt;=D$4)*('Comp.'!$B$5:$B$402&lt;=EOMONTH(D$4,0))*('Comp.'!$E$5:$E$402))</f>
        <v>0</v>
      </c>
      <c r="E108" s="11">
        <f>SUMPRODUCT((Diário!$E$4:$E$2662='Analítico Cp.'!$B108)*(Diário!$C$4:$C$2662&gt;=E$4)*(Diário!$C$4:$C$2662&lt;=EOMONTH(E$4,0))*(Diário!$F$4:$F$2662))
+SUMPRODUCT(('Comp.'!$D$5:$D$402=$B108)*('Comp.'!$B$5:$B$402&gt;=E$4)*('Comp.'!$B$5:$B$402&lt;=EOMONTH(E$4,0))*('Comp.'!$E$5:$E$402))</f>
        <v>0</v>
      </c>
      <c r="F108" s="11">
        <f>SUMPRODUCT((Diário!$E$4:$E$2662='Analítico Cp.'!$B108)*(Diário!$C$4:$C$2662&gt;=F$4)*(Diário!$C$4:$C$2662&lt;=EOMONTH(F$4,0))*(Diário!$F$4:$F$2662))
+SUMPRODUCT(('Comp.'!$D$5:$D$402=$B108)*('Comp.'!$B$5:$B$402&gt;=F$4)*('Comp.'!$B$5:$B$402&lt;=EOMONTH(F$4,0))*('Comp.'!$E$5:$E$402))</f>
        <v>0</v>
      </c>
      <c r="G108" s="11">
        <f>SUMPRODUCT((Diário!$E$4:$E$2662='Analítico Cp.'!$B108)*(Diário!$C$4:$C$2662&gt;=G$4)*(Diário!$C$4:$C$2662&lt;=EOMONTH(G$4,0))*(Diário!$F$4:$F$2662))
+SUMPRODUCT(('Comp.'!$D$5:$D$402=$B108)*('Comp.'!$B$5:$B$402&gt;=G$4)*('Comp.'!$B$5:$B$402&lt;=EOMONTH(G$4,0))*('Comp.'!$E$5:$E$402))</f>
        <v>0</v>
      </c>
      <c r="H108" s="11">
        <f>SUMPRODUCT((Diário!$E$4:$E$2662='Analítico Cp.'!$B108)*(Diário!$C$4:$C$2662&gt;=H$4)*(Diário!$C$4:$C$2662&lt;=EOMONTH(H$4,0))*(Diário!$F$4:$F$2662))
+SUMPRODUCT(('Comp.'!$D$5:$D$402=$B108)*('Comp.'!$B$5:$B$402&gt;=H$4)*('Comp.'!$B$5:$B$402&lt;=EOMONTH(H$4,0))*('Comp.'!$E$5:$E$402))</f>
        <v>0</v>
      </c>
      <c r="I108" s="11">
        <f>SUMPRODUCT((Diário!$E$4:$E$2662='Analítico Cp.'!$B108)*(Diário!$C$4:$C$2662&gt;=I$4)*(Diário!$C$4:$C$2662&lt;=EOMONTH(I$4,0))*(Diário!$F$4:$F$2662))
+SUMPRODUCT(('Comp.'!$D$5:$D$402=$B108)*('Comp.'!$B$5:$B$402&gt;=I$4)*('Comp.'!$B$5:$B$402&lt;=EOMONTH(I$4,0))*('Comp.'!$E$5:$E$402))</f>
        <v>0</v>
      </c>
      <c r="J108" s="11">
        <f>SUMPRODUCT((Diário!$E$4:$E$2662='Analítico Cp.'!$B108)*(Diário!$C$4:$C$2662&gt;=J$4)*(Diário!$C$4:$C$2662&lt;=EOMONTH(J$4,0))*(Diário!$F$4:$F$2662))
+SUMPRODUCT(('Comp.'!$D$5:$D$402=$B108)*('Comp.'!$B$5:$B$402&gt;=J$4)*('Comp.'!$B$5:$B$402&lt;=EOMONTH(J$4,0))*('Comp.'!$E$5:$E$402))</f>
        <v>0</v>
      </c>
      <c r="K108" s="11">
        <f>SUMPRODUCT((Diário!$E$4:$E$2662='Analítico Cp.'!$B108)*(Diário!$C$4:$C$2662&gt;=K$4)*(Diário!$C$4:$C$2662&lt;=EOMONTH(K$4,0))*(Diário!$F$4:$F$2662))
+SUMPRODUCT(('Comp.'!$D$5:$D$402=$B108)*('Comp.'!$B$5:$B$402&gt;=K$4)*('Comp.'!$B$5:$B$402&lt;=EOMONTH(K$4,0))*('Comp.'!$E$5:$E$402))</f>
        <v>0</v>
      </c>
      <c r="L108" s="11">
        <f>SUMPRODUCT((Diário!$E$4:$E$2662='Analítico Cp.'!$B108)*(Diário!$C$4:$C$2662&gt;=L$4)*(Diário!$C$4:$C$2662&lt;=EOMONTH(L$4,0))*(Diário!$F$4:$F$2662))
+SUMPRODUCT(('Comp.'!$D$5:$D$402=$B108)*('Comp.'!$B$5:$B$402&gt;=L$4)*('Comp.'!$B$5:$B$402&lt;=EOMONTH(L$4,0))*('Comp.'!$E$5:$E$402))</f>
        <v>0</v>
      </c>
      <c r="M108" s="11">
        <f>SUMPRODUCT((Diário!$E$4:$E$2662='Analítico Cp.'!$B108)*(Diário!$C$4:$C$2662&gt;=M$4)*(Diário!$C$4:$C$2662&lt;=EOMONTH(M$4,0))*(Diário!$F$4:$F$2662))
+SUMPRODUCT(('Comp.'!$D$5:$D$402=$B108)*('Comp.'!$B$5:$B$402&gt;=M$4)*('Comp.'!$B$5:$B$402&lt;=EOMONTH(M$4,0))*('Comp.'!$E$5:$E$402))</f>
        <v>0</v>
      </c>
      <c r="N108" s="11">
        <f>SUMPRODUCT((Diário!$E$4:$E$2662='Analítico Cp.'!$B108)*(Diário!$C$4:$C$2662&gt;=N$4)*(Diário!$C$4:$C$2662&lt;=EOMONTH(N$4,0))*(Diário!$F$4:$F$2662))
+SUMPRODUCT(('Comp.'!$D$5:$D$402=$B108)*('Comp.'!$B$5:$B$402&gt;=N$4)*('Comp.'!$B$5:$B$402&lt;=EOMONTH(N$4,0))*('Comp.'!$E$5:$E$402))</f>
        <v>0</v>
      </c>
      <c r="O108" s="12">
        <f t="shared" si="14"/>
        <v>0</v>
      </c>
      <c r="P108" s="95">
        <f t="shared" si="15"/>
        <v>0</v>
      </c>
    </row>
    <row r="109" spans="1:16" ht="23.25" customHeight="1">
      <c r="A109" s="40" t="s">
        <v>195</v>
      </c>
      <c r="B109" s="60" t="s">
        <v>56</v>
      </c>
      <c r="C109" s="11">
        <f>SUMPRODUCT((Diário!$E$4:$E$2662='Analítico Cp.'!$B109)*(Diário!$C$4:$C$2662&gt;=C$4)*(Diário!$C$4:$C$2662&lt;=EOMONTH(C$4,0))*(Diário!$F$4:$F$2662))
+SUMPRODUCT(('Comp.'!$D$5:$D$402=$B109)*('Comp.'!$B$5:$B$402&gt;=C$4)*('Comp.'!$B$5:$B$402&lt;=EOMONTH(C$4,0))*('Comp.'!$E$5:$E$402))</f>
        <v>0</v>
      </c>
      <c r="D109" s="11">
        <f>SUMPRODUCT((Diário!$E$4:$E$2662='Analítico Cp.'!$B109)*(Diário!$C$4:$C$2662&gt;=D$4)*(Diário!$C$4:$C$2662&lt;=EOMONTH(D$4,0))*(Diário!$F$4:$F$2662))
+SUMPRODUCT(('Comp.'!$D$5:$D$402=$B109)*('Comp.'!$B$5:$B$402&gt;=D$4)*('Comp.'!$B$5:$B$402&lt;=EOMONTH(D$4,0))*('Comp.'!$E$5:$E$402))</f>
        <v>0</v>
      </c>
      <c r="E109" s="11">
        <f>SUMPRODUCT((Diário!$E$4:$E$2662='Analítico Cp.'!$B109)*(Diário!$C$4:$C$2662&gt;=E$4)*(Diário!$C$4:$C$2662&lt;=EOMONTH(E$4,0))*(Diário!$F$4:$F$2662))
+SUMPRODUCT(('Comp.'!$D$5:$D$402=$B109)*('Comp.'!$B$5:$B$402&gt;=E$4)*('Comp.'!$B$5:$B$402&lt;=EOMONTH(E$4,0))*('Comp.'!$E$5:$E$402))</f>
        <v>0</v>
      </c>
      <c r="F109" s="11">
        <f>SUMPRODUCT((Diário!$E$4:$E$2662='Analítico Cp.'!$B109)*(Diário!$C$4:$C$2662&gt;=F$4)*(Diário!$C$4:$C$2662&lt;=EOMONTH(F$4,0))*(Diário!$F$4:$F$2662))
+SUMPRODUCT(('Comp.'!$D$5:$D$402=$B109)*('Comp.'!$B$5:$B$402&gt;=F$4)*('Comp.'!$B$5:$B$402&lt;=EOMONTH(F$4,0))*('Comp.'!$E$5:$E$402))</f>
        <v>0</v>
      </c>
      <c r="G109" s="11">
        <f>SUMPRODUCT((Diário!$E$4:$E$2662='Analítico Cp.'!$B109)*(Diário!$C$4:$C$2662&gt;=G$4)*(Diário!$C$4:$C$2662&lt;=EOMONTH(G$4,0))*(Diário!$F$4:$F$2662))
+SUMPRODUCT(('Comp.'!$D$5:$D$402=$B109)*('Comp.'!$B$5:$B$402&gt;=G$4)*('Comp.'!$B$5:$B$402&lt;=EOMONTH(G$4,0))*('Comp.'!$E$5:$E$402))</f>
        <v>0</v>
      </c>
      <c r="H109" s="11">
        <f>SUMPRODUCT((Diário!$E$4:$E$2662='Analítico Cp.'!$B109)*(Diário!$C$4:$C$2662&gt;=H$4)*(Diário!$C$4:$C$2662&lt;=EOMONTH(H$4,0))*(Diário!$F$4:$F$2662))
+SUMPRODUCT(('Comp.'!$D$5:$D$402=$B109)*('Comp.'!$B$5:$B$402&gt;=H$4)*('Comp.'!$B$5:$B$402&lt;=EOMONTH(H$4,0))*('Comp.'!$E$5:$E$402))</f>
        <v>0</v>
      </c>
      <c r="I109" s="11">
        <f>SUMPRODUCT((Diário!$E$4:$E$2662='Analítico Cp.'!$B109)*(Diário!$C$4:$C$2662&gt;=I$4)*(Diário!$C$4:$C$2662&lt;=EOMONTH(I$4,0))*(Diário!$F$4:$F$2662))
+SUMPRODUCT(('Comp.'!$D$5:$D$402=$B109)*('Comp.'!$B$5:$B$402&gt;=I$4)*('Comp.'!$B$5:$B$402&lt;=EOMONTH(I$4,0))*('Comp.'!$E$5:$E$402))</f>
        <v>0</v>
      </c>
      <c r="J109" s="11">
        <f>SUMPRODUCT((Diário!$E$4:$E$2662='Analítico Cp.'!$B109)*(Diário!$C$4:$C$2662&gt;=J$4)*(Diário!$C$4:$C$2662&lt;=EOMONTH(J$4,0))*(Diário!$F$4:$F$2662))
+SUMPRODUCT(('Comp.'!$D$5:$D$402=$B109)*('Comp.'!$B$5:$B$402&gt;=J$4)*('Comp.'!$B$5:$B$402&lt;=EOMONTH(J$4,0))*('Comp.'!$E$5:$E$402))</f>
        <v>0</v>
      </c>
      <c r="K109" s="11">
        <f>SUMPRODUCT((Diário!$E$4:$E$2662='Analítico Cp.'!$B109)*(Diário!$C$4:$C$2662&gt;=K$4)*(Diário!$C$4:$C$2662&lt;=EOMONTH(K$4,0))*(Diário!$F$4:$F$2662))
+SUMPRODUCT(('Comp.'!$D$5:$D$402=$B109)*('Comp.'!$B$5:$B$402&gt;=K$4)*('Comp.'!$B$5:$B$402&lt;=EOMONTH(K$4,0))*('Comp.'!$E$5:$E$402))</f>
        <v>0</v>
      </c>
      <c r="L109" s="11">
        <f>SUMPRODUCT((Diário!$E$4:$E$2662='Analítico Cp.'!$B109)*(Diário!$C$4:$C$2662&gt;=L$4)*(Diário!$C$4:$C$2662&lt;=EOMONTH(L$4,0))*(Diário!$F$4:$F$2662))
+SUMPRODUCT(('Comp.'!$D$5:$D$402=$B109)*('Comp.'!$B$5:$B$402&gt;=L$4)*('Comp.'!$B$5:$B$402&lt;=EOMONTH(L$4,0))*('Comp.'!$E$5:$E$402))</f>
        <v>0</v>
      </c>
      <c r="M109" s="11">
        <f>SUMPRODUCT((Diário!$E$4:$E$2662='Analítico Cp.'!$B109)*(Diário!$C$4:$C$2662&gt;=M$4)*(Diário!$C$4:$C$2662&lt;=EOMONTH(M$4,0))*(Diário!$F$4:$F$2662))
+SUMPRODUCT(('Comp.'!$D$5:$D$402=$B109)*('Comp.'!$B$5:$B$402&gt;=M$4)*('Comp.'!$B$5:$B$402&lt;=EOMONTH(M$4,0))*('Comp.'!$E$5:$E$402))</f>
        <v>0</v>
      </c>
      <c r="N109" s="11">
        <f>SUMPRODUCT((Diário!$E$4:$E$2662='Analítico Cp.'!$B109)*(Diário!$C$4:$C$2662&gt;=N$4)*(Diário!$C$4:$C$2662&lt;=EOMONTH(N$4,0))*(Diário!$F$4:$F$2662))
+SUMPRODUCT(('Comp.'!$D$5:$D$402=$B109)*('Comp.'!$B$5:$B$402&gt;=N$4)*('Comp.'!$B$5:$B$402&lt;=EOMONTH(N$4,0))*('Comp.'!$E$5:$E$402))</f>
        <v>0</v>
      </c>
      <c r="O109" s="12">
        <f t="shared" si="14"/>
        <v>0</v>
      </c>
      <c r="P109" s="95">
        <f t="shared" si="15"/>
        <v>0</v>
      </c>
    </row>
    <row r="110" spans="1:16" ht="23.25" customHeight="1">
      <c r="A110" s="40" t="s">
        <v>197</v>
      </c>
      <c r="B110" s="60" t="s">
        <v>194</v>
      </c>
      <c r="C110" s="11">
        <f>SUMPRODUCT((Diário!$E$4:$E$2662='Analítico Cp.'!$B110)*(Diário!$C$4:$C$2662&gt;=C$4)*(Diário!$C$4:$C$2662&lt;=EOMONTH(C$4,0))*(Diário!$F$4:$F$2662))
+SUMPRODUCT(('Comp.'!$D$5:$D$402=$B110)*('Comp.'!$B$5:$B$402&gt;=C$4)*('Comp.'!$B$5:$B$402&lt;=EOMONTH(C$4,0))*('Comp.'!$E$5:$E$402))</f>
        <v>0</v>
      </c>
      <c r="D110" s="11">
        <f>SUMPRODUCT((Diário!$E$4:$E$2662='Analítico Cp.'!$B110)*(Diário!$C$4:$C$2662&gt;=D$4)*(Diário!$C$4:$C$2662&lt;=EOMONTH(D$4,0))*(Diário!$F$4:$F$2662))
+SUMPRODUCT(('Comp.'!$D$5:$D$402=$B110)*('Comp.'!$B$5:$B$402&gt;=D$4)*('Comp.'!$B$5:$B$402&lt;=EOMONTH(D$4,0))*('Comp.'!$E$5:$E$402))</f>
        <v>0</v>
      </c>
      <c r="E110" s="11">
        <f>SUMPRODUCT((Diário!$E$4:$E$2662='Analítico Cp.'!$B110)*(Diário!$C$4:$C$2662&gt;=E$4)*(Diário!$C$4:$C$2662&lt;=EOMONTH(E$4,0))*(Diário!$F$4:$F$2662))
+SUMPRODUCT(('Comp.'!$D$5:$D$402=$B110)*('Comp.'!$B$5:$B$402&gt;=E$4)*('Comp.'!$B$5:$B$402&lt;=EOMONTH(E$4,0))*('Comp.'!$E$5:$E$402))</f>
        <v>0</v>
      </c>
      <c r="F110" s="11">
        <f>SUMPRODUCT((Diário!$E$4:$E$2662='Analítico Cp.'!$B110)*(Diário!$C$4:$C$2662&gt;=F$4)*(Diário!$C$4:$C$2662&lt;=EOMONTH(F$4,0))*(Diário!$F$4:$F$2662))
+SUMPRODUCT(('Comp.'!$D$5:$D$402=$B110)*('Comp.'!$B$5:$B$402&gt;=F$4)*('Comp.'!$B$5:$B$402&lt;=EOMONTH(F$4,0))*('Comp.'!$E$5:$E$402))</f>
        <v>0</v>
      </c>
      <c r="G110" s="11">
        <f>SUMPRODUCT((Diário!$E$4:$E$2662='Analítico Cp.'!$B110)*(Diário!$C$4:$C$2662&gt;=G$4)*(Diário!$C$4:$C$2662&lt;=EOMONTH(G$4,0))*(Diário!$F$4:$F$2662))
+SUMPRODUCT(('Comp.'!$D$5:$D$402=$B110)*('Comp.'!$B$5:$B$402&gt;=G$4)*('Comp.'!$B$5:$B$402&lt;=EOMONTH(G$4,0))*('Comp.'!$E$5:$E$402))</f>
        <v>0</v>
      </c>
      <c r="H110" s="11">
        <f>SUMPRODUCT((Diário!$E$4:$E$2662='Analítico Cp.'!$B110)*(Diário!$C$4:$C$2662&gt;=H$4)*(Diário!$C$4:$C$2662&lt;=EOMONTH(H$4,0))*(Diário!$F$4:$F$2662))
+SUMPRODUCT(('Comp.'!$D$5:$D$402=$B110)*('Comp.'!$B$5:$B$402&gt;=H$4)*('Comp.'!$B$5:$B$402&lt;=EOMONTH(H$4,0))*('Comp.'!$E$5:$E$402))</f>
        <v>0</v>
      </c>
      <c r="I110" s="11">
        <f>SUMPRODUCT((Diário!$E$4:$E$2662='Analítico Cp.'!$B110)*(Diário!$C$4:$C$2662&gt;=I$4)*(Diário!$C$4:$C$2662&lt;=EOMONTH(I$4,0))*(Diário!$F$4:$F$2662))
+SUMPRODUCT(('Comp.'!$D$5:$D$402=$B110)*('Comp.'!$B$5:$B$402&gt;=I$4)*('Comp.'!$B$5:$B$402&lt;=EOMONTH(I$4,0))*('Comp.'!$E$5:$E$402))</f>
        <v>0</v>
      </c>
      <c r="J110" s="11">
        <f>SUMPRODUCT((Diário!$E$4:$E$2662='Analítico Cp.'!$B110)*(Diário!$C$4:$C$2662&gt;=J$4)*(Diário!$C$4:$C$2662&lt;=EOMONTH(J$4,0))*(Diário!$F$4:$F$2662))
+SUMPRODUCT(('Comp.'!$D$5:$D$402=$B110)*('Comp.'!$B$5:$B$402&gt;=J$4)*('Comp.'!$B$5:$B$402&lt;=EOMONTH(J$4,0))*('Comp.'!$E$5:$E$402))</f>
        <v>0</v>
      </c>
      <c r="K110" s="11">
        <f>SUMPRODUCT((Diário!$E$4:$E$2662='Analítico Cp.'!$B110)*(Diário!$C$4:$C$2662&gt;=K$4)*(Diário!$C$4:$C$2662&lt;=EOMONTH(K$4,0))*(Diário!$F$4:$F$2662))
+SUMPRODUCT(('Comp.'!$D$5:$D$402=$B110)*('Comp.'!$B$5:$B$402&gt;=K$4)*('Comp.'!$B$5:$B$402&lt;=EOMONTH(K$4,0))*('Comp.'!$E$5:$E$402))</f>
        <v>0</v>
      </c>
      <c r="L110" s="11">
        <f>SUMPRODUCT((Diário!$E$4:$E$2662='Analítico Cp.'!$B110)*(Diário!$C$4:$C$2662&gt;=L$4)*(Diário!$C$4:$C$2662&lt;=EOMONTH(L$4,0))*(Diário!$F$4:$F$2662))
+SUMPRODUCT(('Comp.'!$D$5:$D$402=$B110)*('Comp.'!$B$5:$B$402&gt;=L$4)*('Comp.'!$B$5:$B$402&lt;=EOMONTH(L$4,0))*('Comp.'!$E$5:$E$402))</f>
        <v>0</v>
      </c>
      <c r="M110" s="11">
        <f>SUMPRODUCT((Diário!$E$4:$E$2662='Analítico Cp.'!$B110)*(Diário!$C$4:$C$2662&gt;=M$4)*(Diário!$C$4:$C$2662&lt;=EOMONTH(M$4,0))*(Diário!$F$4:$F$2662))
+SUMPRODUCT(('Comp.'!$D$5:$D$402=$B110)*('Comp.'!$B$5:$B$402&gt;=M$4)*('Comp.'!$B$5:$B$402&lt;=EOMONTH(M$4,0))*('Comp.'!$E$5:$E$402))</f>
        <v>0</v>
      </c>
      <c r="N110" s="11">
        <f>SUMPRODUCT((Diário!$E$4:$E$2662='Analítico Cp.'!$B110)*(Diário!$C$4:$C$2662&gt;=N$4)*(Diário!$C$4:$C$2662&lt;=EOMONTH(N$4,0))*(Diário!$F$4:$F$2662))
+SUMPRODUCT(('Comp.'!$D$5:$D$402=$B110)*('Comp.'!$B$5:$B$402&gt;=N$4)*('Comp.'!$B$5:$B$402&lt;=EOMONTH(N$4,0))*('Comp.'!$E$5:$E$402))</f>
        <v>0</v>
      </c>
      <c r="O110" s="12">
        <f t="shared" si="14"/>
        <v>0</v>
      </c>
      <c r="P110" s="95">
        <f t="shared" si="15"/>
        <v>0</v>
      </c>
    </row>
    <row r="111" spans="1:16" ht="23.25" customHeight="1">
      <c r="A111" s="40" t="s">
        <v>199</v>
      </c>
      <c r="B111" s="60" t="s">
        <v>196</v>
      </c>
      <c r="C111" s="11">
        <f>SUMPRODUCT((Diário!$E$4:$E$2662='Analítico Cp.'!$B111)*(Diário!$C$4:$C$2662&gt;=C$4)*(Diário!$C$4:$C$2662&lt;=EOMONTH(C$4,0))*(Diário!$F$4:$F$2662))
+SUMPRODUCT(('Comp.'!$D$5:$D$402=$B111)*('Comp.'!$B$5:$B$402&gt;=C$4)*('Comp.'!$B$5:$B$402&lt;=EOMONTH(C$4,0))*('Comp.'!$E$5:$E$402))</f>
        <v>0</v>
      </c>
      <c r="D111" s="11">
        <f>SUMPRODUCT((Diário!$E$4:$E$2662='Analítico Cp.'!$B111)*(Diário!$C$4:$C$2662&gt;=D$4)*(Diário!$C$4:$C$2662&lt;=EOMONTH(D$4,0))*(Diário!$F$4:$F$2662))
+SUMPRODUCT(('Comp.'!$D$5:$D$402=$B111)*('Comp.'!$B$5:$B$402&gt;=D$4)*('Comp.'!$B$5:$B$402&lt;=EOMONTH(D$4,0))*('Comp.'!$E$5:$E$402))</f>
        <v>0</v>
      </c>
      <c r="E111" s="11">
        <f>SUMPRODUCT((Diário!$E$4:$E$2662='Analítico Cp.'!$B111)*(Diário!$C$4:$C$2662&gt;=E$4)*(Diário!$C$4:$C$2662&lt;=EOMONTH(E$4,0))*(Diário!$F$4:$F$2662))
+SUMPRODUCT(('Comp.'!$D$5:$D$402=$B111)*('Comp.'!$B$5:$B$402&gt;=E$4)*('Comp.'!$B$5:$B$402&lt;=EOMONTH(E$4,0))*('Comp.'!$E$5:$E$402))</f>
        <v>0</v>
      </c>
      <c r="F111" s="11">
        <f>SUMPRODUCT((Diário!$E$4:$E$2662='Analítico Cp.'!$B111)*(Diário!$C$4:$C$2662&gt;=F$4)*(Diário!$C$4:$C$2662&lt;=EOMONTH(F$4,0))*(Diário!$F$4:$F$2662))
+SUMPRODUCT(('Comp.'!$D$5:$D$402=$B111)*('Comp.'!$B$5:$B$402&gt;=F$4)*('Comp.'!$B$5:$B$402&lt;=EOMONTH(F$4,0))*('Comp.'!$E$5:$E$402))</f>
        <v>0</v>
      </c>
      <c r="G111" s="11">
        <f>SUMPRODUCT((Diário!$E$4:$E$2662='Analítico Cp.'!$B111)*(Diário!$C$4:$C$2662&gt;=G$4)*(Diário!$C$4:$C$2662&lt;=EOMONTH(G$4,0))*(Diário!$F$4:$F$2662))
+SUMPRODUCT(('Comp.'!$D$5:$D$402=$B111)*('Comp.'!$B$5:$B$402&gt;=G$4)*('Comp.'!$B$5:$B$402&lt;=EOMONTH(G$4,0))*('Comp.'!$E$5:$E$402))</f>
        <v>0</v>
      </c>
      <c r="H111" s="11">
        <f>SUMPRODUCT((Diário!$E$4:$E$2662='Analítico Cp.'!$B111)*(Diário!$C$4:$C$2662&gt;=H$4)*(Diário!$C$4:$C$2662&lt;=EOMONTH(H$4,0))*(Diário!$F$4:$F$2662))
+SUMPRODUCT(('Comp.'!$D$5:$D$402=$B111)*('Comp.'!$B$5:$B$402&gt;=H$4)*('Comp.'!$B$5:$B$402&lt;=EOMONTH(H$4,0))*('Comp.'!$E$5:$E$402))</f>
        <v>0</v>
      </c>
      <c r="I111" s="11">
        <f>SUMPRODUCT((Diário!$E$4:$E$2662='Analítico Cp.'!$B111)*(Diário!$C$4:$C$2662&gt;=I$4)*(Diário!$C$4:$C$2662&lt;=EOMONTH(I$4,0))*(Diário!$F$4:$F$2662))
+SUMPRODUCT(('Comp.'!$D$5:$D$402=$B111)*('Comp.'!$B$5:$B$402&gt;=I$4)*('Comp.'!$B$5:$B$402&lt;=EOMONTH(I$4,0))*('Comp.'!$E$5:$E$402))</f>
        <v>0</v>
      </c>
      <c r="J111" s="11">
        <f>SUMPRODUCT((Diário!$E$4:$E$2662='Analítico Cp.'!$B111)*(Diário!$C$4:$C$2662&gt;=J$4)*(Diário!$C$4:$C$2662&lt;=EOMONTH(J$4,0))*(Diário!$F$4:$F$2662))
+SUMPRODUCT(('Comp.'!$D$5:$D$402=$B111)*('Comp.'!$B$5:$B$402&gt;=J$4)*('Comp.'!$B$5:$B$402&lt;=EOMONTH(J$4,0))*('Comp.'!$E$5:$E$402))</f>
        <v>0</v>
      </c>
      <c r="K111" s="11">
        <f>SUMPRODUCT((Diário!$E$4:$E$2662='Analítico Cp.'!$B111)*(Diário!$C$4:$C$2662&gt;=K$4)*(Diário!$C$4:$C$2662&lt;=EOMONTH(K$4,0))*(Diário!$F$4:$F$2662))
+SUMPRODUCT(('Comp.'!$D$5:$D$402=$B111)*('Comp.'!$B$5:$B$402&gt;=K$4)*('Comp.'!$B$5:$B$402&lt;=EOMONTH(K$4,0))*('Comp.'!$E$5:$E$402))</f>
        <v>0</v>
      </c>
      <c r="L111" s="11">
        <f>SUMPRODUCT((Diário!$E$4:$E$2662='Analítico Cp.'!$B111)*(Diário!$C$4:$C$2662&gt;=L$4)*(Diário!$C$4:$C$2662&lt;=EOMONTH(L$4,0))*(Diário!$F$4:$F$2662))
+SUMPRODUCT(('Comp.'!$D$5:$D$402=$B111)*('Comp.'!$B$5:$B$402&gt;=L$4)*('Comp.'!$B$5:$B$402&lt;=EOMONTH(L$4,0))*('Comp.'!$E$5:$E$402))</f>
        <v>0</v>
      </c>
      <c r="M111" s="11">
        <f>SUMPRODUCT((Diário!$E$4:$E$2662='Analítico Cp.'!$B111)*(Diário!$C$4:$C$2662&gt;=M$4)*(Diário!$C$4:$C$2662&lt;=EOMONTH(M$4,0))*(Diário!$F$4:$F$2662))
+SUMPRODUCT(('Comp.'!$D$5:$D$402=$B111)*('Comp.'!$B$5:$B$402&gt;=M$4)*('Comp.'!$B$5:$B$402&lt;=EOMONTH(M$4,0))*('Comp.'!$E$5:$E$402))</f>
        <v>0</v>
      </c>
      <c r="N111" s="11">
        <f>SUMPRODUCT((Diário!$E$4:$E$2662='Analítico Cp.'!$B111)*(Diário!$C$4:$C$2662&gt;=N$4)*(Diário!$C$4:$C$2662&lt;=EOMONTH(N$4,0))*(Diário!$F$4:$F$2662))
+SUMPRODUCT(('Comp.'!$D$5:$D$402=$B111)*('Comp.'!$B$5:$B$402&gt;=N$4)*('Comp.'!$B$5:$B$402&lt;=EOMONTH(N$4,0))*('Comp.'!$E$5:$E$402))</f>
        <v>0</v>
      </c>
      <c r="O111" s="12">
        <f t="shared" si="14"/>
        <v>0</v>
      </c>
      <c r="P111" s="95">
        <f t="shared" si="15"/>
        <v>0</v>
      </c>
    </row>
    <row r="112" spans="1:16" ht="23.25" customHeight="1">
      <c r="A112" s="40" t="s">
        <v>200</v>
      </c>
      <c r="B112" s="60" t="s">
        <v>198</v>
      </c>
      <c r="C112" s="11">
        <f>SUMPRODUCT((Diário!$E$4:$E$2662='Analítico Cp.'!$B112)*(Diário!$C$4:$C$2662&gt;=C$4)*(Diário!$C$4:$C$2662&lt;=EOMONTH(C$4,0))*(Diário!$F$4:$F$2662))
+SUMPRODUCT(('Comp.'!$D$5:$D$402=$B112)*('Comp.'!$B$5:$B$402&gt;=C$4)*('Comp.'!$B$5:$B$402&lt;=EOMONTH(C$4,0))*('Comp.'!$E$5:$E$402))</f>
        <v>0</v>
      </c>
      <c r="D112" s="11">
        <f>SUMPRODUCT((Diário!$E$4:$E$2662='Analítico Cp.'!$B112)*(Diário!$C$4:$C$2662&gt;=D$4)*(Diário!$C$4:$C$2662&lt;=EOMONTH(D$4,0))*(Diário!$F$4:$F$2662))
+SUMPRODUCT(('Comp.'!$D$5:$D$402=$B112)*('Comp.'!$B$5:$B$402&gt;=D$4)*('Comp.'!$B$5:$B$402&lt;=EOMONTH(D$4,0))*('Comp.'!$E$5:$E$402))</f>
        <v>0</v>
      </c>
      <c r="E112" s="11">
        <f>SUMPRODUCT((Diário!$E$4:$E$2662='Analítico Cp.'!$B112)*(Diário!$C$4:$C$2662&gt;=E$4)*(Diário!$C$4:$C$2662&lt;=EOMONTH(E$4,0))*(Diário!$F$4:$F$2662))
+SUMPRODUCT(('Comp.'!$D$5:$D$402=$B112)*('Comp.'!$B$5:$B$402&gt;=E$4)*('Comp.'!$B$5:$B$402&lt;=EOMONTH(E$4,0))*('Comp.'!$E$5:$E$402))</f>
        <v>0</v>
      </c>
      <c r="F112" s="11">
        <f>SUMPRODUCT((Diário!$E$4:$E$2662='Analítico Cp.'!$B112)*(Diário!$C$4:$C$2662&gt;=F$4)*(Diário!$C$4:$C$2662&lt;=EOMONTH(F$4,0))*(Diário!$F$4:$F$2662))
+SUMPRODUCT(('Comp.'!$D$5:$D$402=$B112)*('Comp.'!$B$5:$B$402&gt;=F$4)*('Comp.'!$B$5:$B$402&lt;=EOMONTH(F$4,0))*('Comp.'!$E$5:$E$402))</f>
        <v>0</v>
      </c>
      <c r="G112" s="11">
        <f>SUMPRODUCT((Diário!$E$4:$E$2662='Analítico Cp.'!$B112)*(Diário!$C$4:$C$2662&gt;=G$4)*(Diário!$C$4:$C$2662&lt;=EOMONTH(G$4,0))*(Diário!$F$4:$F$2662))
+SUMPRODUCT(('Comp.'!$D$5:$D$402=$B112)*('Comp.'!$B$5:$B$402&gt;=G$4)*('Comp.'!$B$5:$B$402&lt;=EOMONTH(G$4,0))*('Comp.'!$E$5:$E$402))</f>
        <v>0</v>
      </c>
      <c r="H112" s="11">
        <f>SUMPRODUCT((Diário!$E$4:$E$2662='Analítico Cp.'!$B112)*(Diário!$C$4:$C$2662&gt;=H$4)*(Diário!$C$4:$C$2662&lt;=EOMONTH(H$4,0))*(Diário!$F$4:$F$2662))
+SUMPRODUCT(('Comp.'!$D$5:$D$402=$B112)*('Comp.'!$B$5:$B$402&gt;=H$4)*('Comp.'!$B$5:$B$402&lt;=EOMONTH(H$4,0))*('Comp.'!$E$5:$E$402))</f>
        <v>0</v>
      </c>
      <c r="I112" s="11">
        <f>SUMPRODUCT((Diário!$E$4:$E$2662='Analítico Cp.'!$B112)*(Diário!$C$4:$C$2662&gt;=I$4)*(Diário!$C$4:$C$2662&lt;=EOMONTH(I$4,0))*(Diário!$F$4:$F$2662))
+SUMPRODUCT(('Comp.'!$D$5:$D$402=$B112)*('Comp.'!$B$5:$B$402&gt;=I$4)*('Comp.'!$B$5:$B$402&lt;=EOMONTH(I$4,0))*('Comp.'!$E$5:$E$402))</f>
        <v>0</v>
      </c>
      <c r="J112" s="11">
        <f>SUMPRODUCT((Diário!$E$4:$E$2662='Analítico Cp.'!$B112)*(Diário!$C$4:$C$2662&gt;=J$4)*(Diário!$C$4:$C$2662&lt;=EOMONTH(J$4,0))*(Diário!$F$4:$F$2662))
+SUMPRODUCT(('Comp.'!$D$5:$D$402=$B112)*('Comp.'!$B$5:$B$402&gt;=J$4)*('Comp.'!$B$5:$B$402&lt;=EOMONTH(J$4,0))*('Comp.'!$E$5:$E$402))</f>
        <v>0</v>
      </c>
      <c r="K112" s="11">
        <f>SUMPRODUCT((Diário!$E$4:$E$2662='Analítico Cp.'!$B112)*(Diário!$C$4:$C$2662&gt;=K$4)*(Diário!$C$4:$C$2662&lt;=EOMONTH(K$4,0))*(Diário!$F$4:$F$2662))
+SUMPRODUCT(('Comp.'!$D$5:$D$402=$B112)*('Comp.'!$B$5:$B$402&gt;=K$4)*('Comp.'!$B$5:$B$402&lt;=EOMONTH(K$4,0))*('Comp.'!$E$5:$E$402))</f>
        <v>0</v>
      </c>
      <c r="L112" s="11">
        <f>SUMPRODUCT((Diário!$E$4:$E$2662='Analítico Cp.'!$B112)*(Diário!$C$4:$C$2662&gt;=L$4)*(Diário!$C$4:$C$2662&lt;=EOMONTH(L$4,0))*(Diário!$F$4:$F$2662))
+SUMPRODUCT(('Comp.'!$D$5:$D$402=$B112)*('Comp.'!$B$5:$B$402&gt;=L$4)*('Comp.'!$B$5:$B$402&lt;=EOMONTH(L$4,0))*('Comp.'!$E$5:$E$402))</f>
        <v>0</v>
      </c>
      <c r="M112" s="11">
        <f>SUMPRODUCT((Diário!$E$4:$E$2662='Analítico Cp.'!$B112)*(Diário!$C$4:$C$2662&gt;=M$4)*(Diário!$C$4:$C$2662&lt;=EOMONTH(M$4,0))*(Diário!$F$4:$F$2662))
+SUMPRODUCT(('Comp.'!$D$5:$D$402=$B112)*('Comp.'!$B$5:$B$402&gt;=M$4)*('Comp.'!$B$5:$B$402&lt;=EOMONTH(M$4,0))*('Comp.'!$E$5:$E$402))</f>
        <v>0</v>
      </c>
      <c r="N112" s="11">
        <f>SUMPRODUCT((Diário!$E$4:$E$2662='Analítico Cp.'!$B112)*(Diário!$C$4:$C$2662&gt;=N$4)*(Diário!$C$4:$C$2662&lt;=EOMONTH(N$4,0))*(Diário!$F$4:$F$2662))
+SUMPRODUCT(('Comp.'!$D$5:$D$402=$B112)*('Comp.'!$B$5:$B$402&gt;=N$4)*('Comp.'!$B$5:$B$402&lt;=EOMONTH(N$4,0))*('Comp.'!$E$5:$E$402))</f>
        <v>0</v>
      </c>
      <c r="O112" s="12">
        <f t="shared" si="14"/>
        <v>0</v>
      </c>
      <c r="P112" s="95">
        <f t="shared" si="15"/>
        <v>0</v>
      </c>
    </row>
    <row r="113" spans="1:16" ht="23.25" customHeight="1">
      <c r="A113" s="40" t="s">
        <v>202</v>
      </c>
      <c r="B113" s="60" t="s">
        <v>290</v>
      </c>
      <c r="C113" s="11">
        <f>SUMPRODUCT((Diário!$E$4:$E$2662='Analítico Cp.'!$B113)*(Diário!$C$4:$C$2662&gt;=C$4)*(Diário!$C$4:$C$2662&lt;=EOMONTH(C$4,0))*(Diário!$F$4:$F$2662))
+SUMPRODUCT(('Comp.'!$D$5:$D$402=$B113)*('Comp.'!$B$5:$B$402&gt;=C$4)*('Comp.'!$B$5:$B$402&lt;=EOMONTH(C$4,0))*('Comp.'!$E$5:$E$402))</f>
        <v>0</v>
      </c>
      <c r="D113" s="11">
        <f>SUMPRODUCT((Diário!$E$4:$E$2662='Analítico Cp.'!$B113)*(Diário!$C$4:$C$2662&gt;=D$4)*(Diário!$C$4:$C$2662&lt;=EOMONTH(D$4,0))*(Diário!$F$4:$F$2662))
+SUMPRODUCT(('Comp.'!$D$5:$D$402=$B113)*('Comp.'!$B$5:$B$402&gt;=D$4)*('Comp.'!$B$5:$B$402&lt;=EOMONTH(D$4,0))*('Comp.'!$E$5:$E$402))</f>
        <v>0</v>
      </c>
      <c r="E113" s="11">
        <f>SUMPRODUCT((Diário!$E$4:$E$2662='Analítico Cp.'!$B113)*(Diário!$C$4:$C$2662&gt;=E$4)*(Diário!$C$4:$C$2662&lt;=EOMONTH(E$4,0))*(Diário!$F$4:$F$2662))
+SUMPRODUCT(('Comp.'!$D$5:$D$402=$B113)*('Comp.'!$B$5:$B$402&gt;=E$4)*('Comp.'!$B$5:$B$402&lt;=EOMONTH(E$4,0))*('Comp.'!$E$5:$E$402))</f>
        <v>0</v>
      </c>
      <c r="F113" s="11">
        <f>SUMPRODUCT((Diário!$E$4:$E$2662='Analítico Cp.'!$B113)*(Diário!$C$4:$C$2662&gt;=F$4)*(Diário!$C$4:$C$2662&lt;=EOMONTH(F$4,0))*(Diário!$F$4:$F$2662))
+SUMPRODUCT(('Comp.'!$D$5:$D$402=$B113)*('Comp.'!$B$5:$B$402&gt;=F$4)*('Comp.'!$B$5:$B$402&lt;=EOMONTH(F$4,0))*('Comp.'!$E$5:$E$402))</f>
        <v>0</v>
      </c>
      <c r="G113" s="11">
        <f>SUMPRODUCT((Diário!$E$4:$E$2662='Analítico Cp.'!$B113)*(Diário!$C$4:$C$2662&gt;=G$4)*(Diário!$C$4:$C$2662&lt;=EOMONTH(G$4,0))*(Diário!$F$4:$F$2662))
+SUMPRODUCT(('Comp.'!$D$5:$D$402=$B113)*('Comp.'!$B$5:$B$402&gt;=G$4)*('Comp.'!$B$5:$B$402&lt;=EOMONTH(G$4,0))*('Comp.'!$E$5:$E$402))</f>
        <v>0</v>
      </c>
      <c r="H113" s="11">
        <f>SUMPRODUCT((Diário!$E$4:$E$2662='Analítico Cp.'!$B113)*(Diário!$C$4:$C$2662&gt;=H$4)*(Diário!$C$4:$C$2662&lt;=EOMONTH(H$4,0))*(Diário!$F$4:$F$2662))
+SUMPRODUCT(('Comp.'!$D$5:$D$402=$B113)*('Comp.'!$B$5:$B$402&gt;=H$4)*('Comp.'!$B$5:$B$402&lt;=EOMONTH(H$4,0))*('Comp.'!$E$5:$E$402))</f>
        <v>0</v>
      </c>
      <c r="I113" s="11">
        <f>SUMPRODUCT((Diário!$E$4:$E$2662='Analítico Cp.'!$B113)*(Diário!$C$4:$C$2662&gt;=I$4)*(Diário!$C$4:$C$2662&lt;=EOMONTH(I$4,0))*(Diário!$F$4:$F$2662))
+SUMPRODUCT(('Comp.'!$D$5:$D$402=$B113)*('Comp.'!$B$5:$B$402&gt;=I$4)*('Comp.'!$B$5:$B$402&lt;=EOMONTH(I$4,0))*('Comp.'!$E$5:$E$402))</f>
        <v>0</v>
      </c>
      <c r="J113" s="11">
        <f>SUMPRODUCT((Diário!$E$4:$E$2662='Analítico Cp.'!$B113)*(Diário!$C$4:$C$2662&gt;=J$4)*(Diário!$C$4:$C$2662&lt;=EOMONTH(J$4,0))*(Diário!$F$4:$F$2662))
+SUMPRODUCT(('Comp.'!$D$5:$D$402=$B113)*('Comp.'!$B$5:$B$402&gt;=J$4)*('Comp.'!$B$5:$B$402&lt;=EOMONTH(J$4,0))*('Comp.'!$E$5:$E$402))</f>
        <v>0</v>
      </c>
      <c r="K113" s="11">
        <f>SUMPRODUCT((Diário!$E$4:$E$2662='Analítico Cp.'!$B113)*(Diário!$C$4:$C$2662&gt;=K$4)*(Diário!$C$4:$C$2662&lt;=EOMONTH(K$4,0))*(Diário!$F$4:$F$2662))
+SUMPRODUCT(('Comp.'!$D$5:$D$402=$B113)*('Comp.'!$B$5:$B$402&gt;=K$4)*('Comp.'!$B$5:$B$402&lt;=EOMONTH(K$4,0))*('Comp.'!$E$5:$E$402))</f>
        <v>0</v>
      </c>
      <c r="L113" s="11">
        <f>SUMPRODUCT((Diário!$E$4:$E$2662='Analítico Cp.'!$B113)*(Diário!$C$4:$C$2662&gt;=L$4)*(Diário!$C$4:$C$2662&lt;=EOMONTH(L$4,0))*(Diário!$F$4:$F$2662))
+SUMPRODUCT(('Comp.'!$D$5:$D$402=$B113)*('Comp.'!$B$5:$B$402&gt;=L$4)*('Comp.'!$B$5:$B$402&lt;=EOMONTH(L$4,0))*('Comp.'!$E$5:$E$402))</f>
        <v>0</v>
      </c>
      <c r="M113" s="11">
        <f>SUMPRODUCT((Diário!$E$4:$E$2662='Analítico Cp.'!$B113)*(Diário!$C$4:$C$2662&gt;=M$4)*(Diário!$C$4:$C$2662&lt;=EOMONTH(M$4,0))*(Diário!$F$4:$F$2662))
+SUMPRODUCT(('Comp.'!$D$5:$D$402=$B113)*('Comp.'!$B$5:$B$402&gt;=M$4)*('Comp.'!$B$5:$B$402&lt;=EOMONTH(M$4,0))*('Comp.'!$E$5:$E$402))</f>
        <v>0</v>
      </c>
      <c r="N113" s="11">
        <f>SUMPRODUCT((Diário!$E$4:$E$2662='Analítico Cp.'!$B113)*(Diário!$C$4:$C$2662&gt;=N$4)*(Diário!$C$4:$C$2662&lt;=EOMONTH(N$4,0))*(Diário!$F$4:$F$2662))
+SUMPRODUCT(('Comp.'!$D$5:$D$402=$B113)*('Comp.'!$B$5:$B$402&gt;=N$4)*('Comp.'!$B$5:$B$402&lt;=EOMONTH(N$4,0))*('Comp.'!$E$5:$E$402))</f>
        <v>0</v>
      </c>
      <c r="O113" s="12">
        <f t="shared" si="14"/>
        <v>0</v>
      </c>
      <c r="P113" s="95">
        <f t="shared" si="15"/>
        <v>0</v>
      </c>
    </row>
    <row r="114" spans="1:16" ht="23.25" customHeight="1">
      <c r="A114" s="40" t="s">
        <v>203</v>
      </c>
      <c r="B114" s="60" t="s">
        <v>201</v>
      </c>
      <c r="C114" s="11">
        <f>SUMPRODUCT((Diário!$E$4:$E$2662='Analítico Cp.'!$B114)*(Diário!$C$4:$C$2662&gt;=C$4)*(Diário!$C$4:$C$2662&lt;=EOMONTH(C$4,0))*(Diário!$F$4:$F$2662))
+SUMPRODUCT(('Comp.'!$D$5:$D$402=$B114)*('Comp.'!$B$5:$B$402&gt;=C$4)*('Comp.'!$B$5:$B$402&lt;=EOMONTH(C$4,0))*('Comp.'!$E$5:$E$402))</f>
        <v>0</v>
      </c>
      <c r="D114" s="11">
        <f>SUMPRODUCT((Diário!$E$4:$E$2662='Analítico Cp.'!$B114)*(Diário!$C$4:$C$2662&gt;=D$4)*(Diário!$C$4:$C$2662&lt;=EOMONTH(D$4,0))*(Diário!$F$4:$F$2662))
+SUMPRODUCT(('Comp.'!$D$5:$D$402=$B114)*('Comp.'!$B$5:$B$402&gt;=D$4)*('Comp.'!$B$5:$B$402&lt;=EOMONTH(D$4,0))*('Comp.'!$E$5:$E$402))</f>
        <v>0</v>
      </c>
      <c r="E114" s="11">
        <f>SUMPRODUCT((Diário!$E$4:$E$2662='Analítico Cp.'!$B114)*(Diário!$C$4:$C$2662&gt;=E$4)*(Diário!$C$4:$C$2662&lt;=EOMONTH(E$4,0))*(Diário!$F$4:$F$2662))
+SUMPRODUCT(('Comp.'!$D$5:$D$402=$B114)*('Comp.'!$B$5:$B$402&gt;=E$4)*('Comp.'!$B$5:$B$402&lt;=EOMONTH(E$4,0))*('Comp.'!$E$5:$E$402))</f>
        <v>0</v>
      </c>
      <c r="F114" s="11">
        <f>SUMPRODUCT((Diário!$E$4:$E$2662='Analítico Cp.'!$B114)*(Diário!$C$4:$C$2662&gt;=F$4)*(Diário!$C$4:$C$2662&lt;=EOMONTH(F$4,0))*(Diário!$F$4:$F$2662))
+SUMPRODUCT(('Comp.'!$D$5:$D$402=$B114)*('Comp.'!$B$5:$B$402&gt;=F$4)*('Comp.'!$B$5:$B$402&lt;=EOMONTH(F$4,0))*('Comp.'!$E$5:$E$402))</f>
        <v>0</v>
      </c>
      <c r="G114" s="11">
        <f>SUMPRODUCT((Diário!$E$4:$E$2662='Analítico Cp.'!$B114)*(Diário!$C$4:$C$2662&gt;=G$4)*(Diário!$C$4:$C$2662&lt;=EOMONTH(G$4,0))*(Diário!$F$4:$F$2662))
+SUMPRODUCT(('Comp.'!$D$5:$D$402=$B114)*('Comp.'!$B$5:$B$402&gt;=G$4)*('Comp.'!$B$5:$B$402&lt;=EOMONTH(G$4,0))*('Comp.'!$E$5:$E$402))</f>
        <v>0</v>
      </c>
      <c r="H114" s="11">
        <f>SUMPRODUCT((Diário!$E$4:$E$2662='Analítico Cp.'!$B114)*(Diário!$C$4:$C$2662&gt;=H$4)*(Diário!$C$4:$C$2662&lt;=EOMONTH(H$4,0))*(Diário!$F$4:$F$2662))
+SUMPRODUCT(('Comp.'!$D$5:$D$402=$B114)*('Comp.'!$B$5:$B$402&gt;=H$4)*('Comp.'!$B$5:$B$402&lt;=EOMONTH(H$4,0))*('Comp.'!$E$5:$E$402))</f>
        <v>0</v>
      </c>
      <c r="I114" s="11">
        <f>SUMPRODUCT((Diário!$E$4:$E$2662='Analítico Cp.'!$B114)*(Diário!$C$4:$C$2662&gt;=I$4)*(Diário!$C$4:$C$2662&lt;=EOMONTH(I$4,0))*(Diário!$F$4:$F$2662))
+SUMPRODUCT(('Comp.'!$D$5:$D$402=$B114)*('Comp.'!$B$5:$B$402&gt;=I$4)*('Comp.'!$B$5:$B$402&lt;=EOMONTH(I$4,0))*('Comp.'!$E$5:$E$402))</f>
        <v>0</v>
      </c>
      <c r="J114" s="11">
        <f>SUMPRODUCT((Diário!$E$4:$E$2662='Analítico Cp.'!$B114)*(Diário!$C$4:$C$2662&gt;=J$4)*(Diário!$C$4:$C$2662&lt;=EOMONTH(J$4,0))*(Diário!$F$4:$F$2662))
+SUMPRODUCT(('Comp.'!$D$5:$D$402=$B114)*('Comp.'!$B$5:$B$402&gt;=J$4)*('Comp.'!$B$5:$B$402&lt;=EOMONTH(J$4,0))*('Comp.'!$E$5:$E$402))</f>
        <v>0</v>
      </c>
      <c r="K114" s="11">
        <f>SUMPRODUCT((Diário!$E$4:$E$2662='Analítico Cp.'!$B114)*(Diário!$C$4:$C$2662&gt;=K$4)*(Diário!$C$4:$C$2662&lt;=EOMONTH(K$4,0))*(Diário!$F$4:$F$2662))
+SUMPRODUCT(('Comp.'!$D$5:$D$402=$B114)*('Comp.'!$B$5:$B$402&gt;=K$4)*('Comp.'!$B$5:$B$402&lt;=EOMONTH(K$4,0))*('Comp.'!$E$5:$E$402))</f>
        <v>0</v>
      </c>
      <c r="L114" s="11">
        <f>SUMPRODUCT((Diário!$E$4:$E$2662='Analítico Cp.'!$B114)*(Diário!$C$4:$C$2662&gt;=L$4)*(Diário!$C$4:$C$2662&lt;=EOMONTH(L$4,0))*(Diário!$F$4:$F$2662))
+SUMPRODUCT(('Comp.'!$D$5:$D$402=$B114)*('Comp.'!$B$5:$B$402&gt;=L$4)*('Comp.'!$B$5:$B$402&lt;=EOMONTH(L$4,0))*('Comp.'!$E$5:$E$402))</f>
        <v>0</v>
      </c>
      <c r="M114" s="11">
        <f>SUMPRODUCT((Diário!$E$4:$E$2662='Analítico Cp.'!$B114)*(Diário!$C$4:$C$2662&gt;=M$4)*(Diário!$C$4:$C$2662&lt;=EOMONTH(M$4,0))*(Diário!$F$4:$F$2662))
+SUMPRODUCT(('Comp.'!$D$5:$D$402=$B114)*('Comp.'!$B$5:$B$402&gt;=M$4)*('Comp.'!$B$5:$B$402&lt;=EOMONTH(M$4,0))*('Comp.'!$E$5:$E$402))</f>
        <v>0</v>
      </c>
      <c r="N114" s="11">
        <f>SUMPRODUCT((Diário!$E$4:$E$2662='Analítico Cp.'!$B114)*(Diário!$C$4:$C$2662&gt;=N$4)*(Diário!$C$4:$C$2662&lt;=EOMONTH(N$4,0))*(Diário!$F$4:$F$2662))
+SUMPRODUCT(('Comp.'!$D$5:$D$402=$B114)*('Comp.'!$B$5:$B$402&gt;=N$4)*('Comp.'!$B$5:$B$402&lt;=EOMONTH(N$4,0))*('Comp.'!$E$5:$E$402))</f>
        <v>0</v>
      </c>
      <c r="O114" s="12">
        <f t="shared" si="14"/>
        <v>0</v>
      </c>
      <c r="P114" s="95">
        <f t="shared" si="15"/>
        <v>0</v>
      </c>
    </row>
    <row r="115" spans="1:16" ht="23.25" customHeight="1">
      <c r="A115" s="40" t="s">
        <v>204</v>
      </c>
      <c r="B115" s="60" t="s">
        <v>271</v>
      </c>
      <c r="C115" s="11">
        <f>SUMPRODUCT((Diário!$E$4:$E$2662='Analítico Cp.'!$B115)*(Diário!$C$4:$C$2662&gt;=C$4)*(Diário!$C$4:$C$2662&lt;=EOMONTH(C$4,0))*(Diário!$F$4:$F$2662))
+SUMPRODUCT(('Comp.'!$D$5:$D$402=$B115)*('Comp.'!$B$5:$B$402&gt;=C$4)*('Comp.'!$B$5:$B$402&lt;=EOMONTH(C$4,0))*('Comp.'!$E$5:$E$402))</f>
        <v>0</v>
      </c>
      <c r="D115" s="11">
        <f>SUMPRODUCT((Diário!$E$4:$E$2662='Analítico Cp.'!$B115)*(Diário!$C$4:$C$2662&gt;=D$4)*(Diário!$C$4:$C$2662&lt;=EOMONTH(D$4,0))*(Diário!$F$4:$F$2662))
+SUMPRODUCT(('Comp.'!$D$5:$D$402=$B115)*('Comp.'!$B$5:$B$402&gt;=D$4)*('Comp.'!$B$5:$B$402&lt;=EOMONTH(D$4,0))*('Comp.'!$E$5:$E$402))</f>
        <v>0</v>
      </c>
      <c r="E115" s="11">
        <f>SUMPRODUCT((Diário!$E$4:$E$2662='Analítico Cp.'!$B115)*(Diário!$C$4:$C$2662&gt;=E$4)*(Diário!$C$4:$C$2662&lt;=EOMONTH(E$4,0))*(Diário!$F$4:$F$2662))
+SUMPRODUCT(('Comp.'!$D$5:$D$402=$B115)*('Comp.'!$B$5:$B$402&gt;=E$4)*('Comp.'!$B$5:$B$402&lt;=EOMONTH(E$4,0))*('Comp.'!$E$5:$E$402))</f>
        <v>0</v>
      </c>
      <c r="F115" s="11">
        <f>SUMPRODUCT((Diário!$E$4:$E$2662='Analítico Cp.'!$B115)*(Diário!$C$4:$C$2662&gt;=F$4)*(Diário!$C$4:$C$2662&lt;=EOMONTH(F$4,0))*(Diário!$F$4:$F$2662))
+SUMPRODUCT(('Comp.'!$D$5:$D$402=$B115)*('Comp.'!$B$5:$B$402&gt;=F$4)*('Comp.'!$B$5:$B$402&lt;=EOMONTH(F$4,0))*('Comp.'!$E$5:$E$402))</f>
        <v>0</v>
      </c>
      <c r="G115" s="11">
        <f>SUMPRODUCT((Diário!$E$4:$E$2662='Analítico Cp.'!$B115)*(Diário!$C$4:$C$2662&gt;=G$4)*(Diário!$C$4:$C$2662&lt;=EOMONTH(G$4,0))*(Diário!$F$4:$F$2662))
+SUMPRODUCT(('Comp.'!$D$5:$D$402=$B115)*('Comp.'!$B$5:$B$402&gt;=G$4)*('Comp.'!$B$5:$B$402&lt;=EOMONTH(G$4,0))*('Comp.'!$E$5:$E$402))</f>
        <v>0</v>
      </c>
      <c r="H115" s="11">
        <f>SUMPRODUCT((Diário!$E$4:$E$2662='Analítico Cp.'!$B115)*(Diário!$C$4:$C$2662&gt;=H$4)*(Diário!$C$4:$C$2662&lt;=EOMONTH(H$4,0))*(Diário!$F$4:$F$2662))
+SUMPRODUCT(('Comp.'!$D$5:$D$402=$B115)*('Comp.'!$B$5:$B$402&gt;=H$4)*('Comp.'!$B$5:$B$402&lt;=EOMONTH(H$4,0))*('Comp.'!$E$5:$E$402))</f>
        <v>0</v>
      </c>
      <c r="I115" s="11">
        <f>SUMPRODUCT((Diário!$E$4:$E$2662='Analítico Cp.'!$B115)*(Diário!$C$4:$C$2662&gt;=I$4)*(Diário!$C$4:$C$2662&lt;=EOMONTH(I$4,0))*(Diário!$F$4:$F$2662))
+SUMPRODUCT(('Comp.'!$D$5:$D$402=$B115)*('Comp.'!$B$5:$B$402&gt;=I$4)*('Comp.'!$B$5:$B$402&lt;=EOMONTH(I$4,0))*('Comp.'!$E$5:$E$402))</f>
        <v>0</v>
      </c>
      <c r="J115" s="11">
        <f>SUMPRODUCT((Diário!$E$4:$E$2662='Analítico Cp.'!$B115)*(Diário!$C$4:$C$2662&gt;=J$4)*(Diário!$C$4:$C$2662&lt;=EOMONTH(J$4,0))*(Diário!$F$4:$F$2662))
+SUMPRODUCT(('Comp.'!$D$5:$D$402=$B115)*('Comp.'!$B$5:$B$402&gt;=J$4)*('Comp.'!$B$5:$B$402&lt;=EOMONTH(J$4,0))*('Comp.'!$E$5:$E$402))</f>
        <v>0</v>
      </c>
      <c r="K115" s="11">
        <f>SUMPRODUCT((Diário!$E$4:$E$2662='Analítico Cp.'!$B115)*(Diário!$C$4:$C$2662&gt;=K$4)*(Diário!$C$4:$C$2662&lt;=EOMONTH(K$4,0))*(Diário!$F$4:$F$2662))
+SUMPRODUCT(('Comp.'!$D$5:$D$402=$B115)*('Comp.'!$B$5:$B$402&gt;=K$4)*('Comp.'!$B$5:$B$402&lt;=EOMONTH(K$4,0))*('Comp.'!$E$5:$E$402))</f>
        <v>0</v>
      </c>
      <c r="L115" s="11">
        <f>SUMPRODUCT((Diário!$E$4:$E$2662='Analítico Cp.'!$B115)*(Diário!$C$4:$C$2662&gt;=L$4)*(Diário!$C$4:$C$2662&lt;=EOMONTH(L$4,0))*(Diário!$F$4:$F$2662))
+SUMPRODUCT(('Comp.'!$D$5:$D$402=$B115)*('Comp.'!$B$5:$B$402&gt;=L$4)*('Comp.'!$B$5:$B$402&lt;=EOMONTH(L$4,0))*('Comp.'!$E$5:$E$402))</f>
        <v>0</v>
      </c>
      <c r="M115" s="11">
        <f>SUMPRODUCT((Diário!$E$4:$E$2662='Analítico Cp.'!$B115)*(Diário!$C$4:$C$2662&gt;=M$4)*(Diário!$C$4:$C$2662&lt;=EOMONTH(M$4,0))*(Diário!$F$4:$F$2662))
+SUMPRODUCT(('Comp.'!$D$5:$D$402=$B115)*('Comp.'!$B$5:$B$402&gt;=M$4)*('Comp.'!$B$5:$B$402&lt;=EOMONTH(M$4,0))*('Comp.'!$E$5:$E$402))</f>
        <v>0</v>
      </c>
      <c r="N115" s="11">
        <f>SUMPRODUCT((Diário!$E$4:$E$2662='Analítico Cp.'!$B115)*(Diário!$C$4:$C$2662&gt;=N$4)*(Diário!$C$4:$C$2662&lt;=EOMONTH(N$4,0))*(Diário!$F$4:$F$2662))
+SUMPRODUCT(('Comp.'!$D$5:$D$402=$B115)*('Comp.'!$B$5:$B$402&gt;=N$4)*('Comp.'!$B$5:$B$402&lt;=EOMONTH(N$4,0))*('Comp.'!$E$5:$E$402))</f>
        <v>0</v>
      </c>
      <c r="O115" s="12">
        <f t="shared" si="14"/>
        <v>0</v>
      </c>
      <c r="P115" s="95">
        <f t="shared" si="15"/>
        <v>0</v>
      </c>
    </row>
    <row r="116" spans="1:16" ht="23.25" customHeight="1">
      <c r="A116" s="40" t="s">
        <v>205</v>
      </c>
      <c r="B116" s="60" t="s">
        <v>453</v>
      </c>
      <c r="C116" s="11">
        <f>SUMPRODUCT((Diário!$E$4:$E$2662='Analítico Cp.'!$B116)*(Diário!$C$4:$C$2662&gt;=C$4)*(Diário!$C$4:$C$2662&lt;=EOMONTH(C$4,0))*(Diário!$F$4:$F$2662))
+SUMPRODUCT(('Comp.'!$D$5:$D$402=$B116)*('Comp.'!$B$5:$B$402&gt;=C$4)*('Comp.'!$B$5:$B$402&lt;=EOMONTH(C$4,0))*('Comp.'!$E$5:$E$402))</f>
        <v>0</v>
      </c>
      <c r="D116" s="11">
        <f>SUMPRODUCT((Diário!$E$4:$E$2662='Analítico Cp.'!$B116)*(Diário!$C$4:$C$2662&gt;=D$4)*(Diário!$C$4:$C$2662&lt;=EOMONTH(D$4,0))*(Diário!$F$4:$F$2662))
+SUMPRODUCT(('Comp.'!$D$5:$D$402=$B116)*('Comp.'!$B$5:$B$402&gt;=D$4)*('Comp.'!$B$5:$B$402&lt;=EOMONTH(D$4,0))*('Comp.'!$E$5:$E$402))</f>
        <v>0</v>
      </c>
      <c r="E116" s="11">
        <f>SUMPRODUCT((Diário!$E$4:$E$2662='Analítico Cp.'!$B116)*(Diário!$C$4:$C$2662&gt;=E$4)*(Diário!$C$4:$C$2662&lt;=EOMONTH(E$4,0))*(Diário!$F$4:$F$2662))
+SUMPRODUCT(('Comp.'!$D$5:$D$402=$B116)*('Comp.'!$B$5:$B$402&gt;=E$4)*('Comp.'!$B$5:$B$402&lt;=EOMONTH(E$4,0))*('Comp.'!$E$5:$E$402))</f>
        <v>0</v>
      </c>
      <c r="F116" s="11">
        <f>SUMPRODUCT((Diário!$E$4:$E$2662='Analítico Cp.'!$B116)*(Diário!$C$4:$C$2662&gt;=F$4)*(Diário!$C$4:$C$2662&lt;=EOMONTH(F$4,0))*(Diário!$F$4:$F$2662))
+SUMPRODUCT(('Comp.'!$D$5:$D$402=$B116)*('Comp.'!$B$5:$B$402&gt;=F$4)*('Comp.'!$B$5:$B$402&lt;=EOMONTH(F$4,0))*('Comp.'!$E$5:$E$402))</f>
        <v>0</v>
      </c>
      <c r="G116" s="11">
        <f>SUMPRODUCT((Diário!$E$4:$E$2662='Analítico Cp.'!$B116)*(Diário!$C$4:$C$2662&gt;=G$4)*(Diário!$C$4:$C$2662&lt;=EOMONTH(G$4,0))*(Diário!$F$4:$F$2662))
+SUMPRODUCT(('Comp.'!$D$5:$D$402=$B116)*('Comp.'!$B$5:$B$402&gt;=G$4)*('Comp.'!$B$5:$B$402&lt;=EOMONTH(G$4,0))*('Comp.'!$E$5:$E$402))</f>
        <v>0</v>
      </c>
      <c r="H116" s="11">
        <f>SUMPRODUCT((Diário!$E$4:$E$2662='Analítico Cp.'!$B116)*(Diário!$C$4:$C$2662&gt;=H$4)*(Diário!$C$4:$C$2662&lt;=EOMONTH(H$4,0))*(Diário!$F$4:$F$2662))
+SUMPRODUCT(('Comp.'!$D$5:$D$402=$B116)*('Comp.'!$B$5:$B$402&gt;=H$4)*('Comp.'!$B$5:$B$402&lt;=EOMONTH(H$4,0))*('Comp.'!$E$5:$E$402))</f>
        <v>0</v>
      </c>
      <c r="I116" s="11">
        <f>SUMPRODUCT((Diário!$E$4:$E$2662='Analítico Cp.'!$B116)*(Diário!$C$4:$C$2662&gt;=I$4)*(Diário!$C$4:$C$2662&lt;=EOMONTH(I$4,0))*(Diário!$F$4:$F$2662))
+SUMPRODUCT(('Comp.'!$D$5:$D$402=$B116)*('Comp.'!$B$5:$B$402&gt;=I$4)*('Comp.'!$B$5:$B$402&lt;=EOMONTH(I$4,0))*('Comp.'!$E$5:$E$402))</f>
        <v>0</v>
      </c>
      <c r="J116" s="11">
        <f>SUMPRODUCT((Diário!$E$4:$E$2662='Analítico Cp.'!$B116)*(Diário!$C$4:$C$2662&gt;=J$4)*(Diário!$C$4:$C$2662&lt;=EOMONTH(J$4,0))*(Diário!$F$4:$F$2662))
+SUMPRODUCT(('Comp.'!$D$5:$D$402=$B116)*('Comp.'!$B$5:$B$402&gt;=J$4)*('Comp.'!$B$5:$B$402&lt;=EOMONTH(J$4,0))*('Comp.'!$E$5:$E$402))</f>
        <v>0</v>
      </c>
      <c r="K116" s="11">
        <f>SUMPRODUCT((Diário!$E$4:$E$2662='Analítico Cp.'!$B116)*(Diário!$C$4:$C$2662&gt;=K$4)*(Diário!$C$4:$C$2662&lt;=EOMONTH(K$4,0))*(Diário!$F$4:$F$2662))
+SUMPRODUCT(('Comp.'!$D$5:$D$402=$B116)*('Comp.'!$B$5:$B$402&gt;=K$4)*('Comp.'!$B$5:$B$402&lt;=EOMONTH(K$4,0))*('Comp.'!$E$5:$E$402))</f>
        <v>0</v>
      </c>
      <c r="L116" s="11">
        <f>SUMPRODUCT((Diário!$E$4:$E$2662='Analítico Cp.'!$B116)*(Diário!$C$4:$C$2662&gt;=L$4)*(Diário!$C$4:$C$2662&lt;=EOMONTH(L$4,0))*(Diário!$F$4:$F$2662))
+SUMPRODUCT(('Comp.'!$D$5:$D$402=$B116)*('Comp.'!$B$5:$B$402&gt;=L$4)*('Comp.'!$B$5:$B$402&lt;=EOMONTH(L$4,0))*('Comp.'!$E$5:$E$402))</f>
        <v>0</v>
      </c>
      <c r="M116" s="11">
        <f>SUMPRODUCT((Diário!$E$4:$E$2662='Analítico Cp.'!$B116)*(Diário!$C$4:$C$2662&gt;=M$4)*(Diário!$C$4:$C$2662&lt;=EOMONTH(M$4,0))*(Diário!$F$4:$F$2662))
+SUMPRODUCT(('Comp.'!$D$5:$D$402=$B116)*('Comp.'!$B$5:$B$402&gt;=M$4)*('Comp.'!$B$5:$B$402&lt;=EOMONTH(M$4,0))*('Comp.'!$E$5:$E$402))</f>
        <v>0</v>
      </c>
      <c r="N116" s="11">
        <f>SUMPRODUCT((Diário!$E$4:$E$2662='Analítico Cp.'!$B116)*(Diário!$C$4:$C$2662&gt;=N$4)*(Diário!$C$4:$C$2662&lt;=EOMONTH(N$4,0))*(Diário!$F$4:$F$2662))
+SUMPRODUCT(('Comp.'!$D$5:$D$402=$B116)*('Comp.'!$B$5:$B$402&gt;=N$4)*('Comp.'!$B$5:$B$402&lt;=EOMONTH(N$4,0))*('Comp.'!$E$5:$E$402))</f>
        <v>0</v>
      </c>
      <c r="O116" s="12">
        <f t="shared" ref="O116:O170" si="16">SUM(C116:N116)</f>
        <v>0</v>
      </c>
      <c r="P116" s="95">
        <f t="shared" ref="P116:P170" si="17">IF($O$189=0,0,O116/$O$189)</f>
        <v>0</v>
      </c>
    </row>
    <row r="117" spans="1:16" ht="23.25" customHeight="1">
      <c r="A117" s="40" t="s">
        <v>507</v>
      </c>
      <c r="B117" s="60" t="s">
        <v>454</v>
      </c>
      <c r="C117" s="11">
        <f>SUMPRODUCT((Diário!$E$4:$E$2662='Analítico Cp.'!$B117)*(Diário!$C$4:$C$2662&gt;=C$4)*(Diário!$C$4:$C$2662&lt;=EOMONTH(C$4,0))*(Diário!$F$4:$F$2662))
+SUMPRODUCT(('Comp.'!$D$5:$D$402=$B117)*('Comp.'!$B$5:$B$402&gt;=C$4)*('Comp.'!$B$5:$B$402&lt;=EOMONTH(C$4,0))*('Comp.'!$E$5:$E$402))</f>
        <v>24900</v>
      </c>
      <c r="D117" s="11">
        <f>SUMPRODUCT((Diário!$E$4:$E$2662='Analítico Cp.'!$B117)*(Diário!$C$4:$C$2662&gt;=D$4)*(Diário!$C$4:$C$2662&lt;=EOMONTH(D$4,0))*(Diário!$F$4:$F$2662))
+SUMPRODUCT(('Comp.'!$D$5:$D$402=$B117)*('Comp.'!$B$5:$B$402&gt;=D$4)*('Comp.'!$B$5:$B$402&lt;=EOMONTH(D$4,0))*('Comp.'!$E$5:$E$402))</f>
        <v>24340</v>
      </c>
      <c r="E117" s="11">
        <f>SUMPRODUCT((Diário!$E$4:$E$2662='Analítico Cp.'!$B117)*(Diário!$C$4:$C$2662&gt;=E$4)*(Diário!$C$4:$C$2662&lt;=EOMONTH(E$4,0))*(Diário!$F$4:$F$2662))
+SUMPRODUCT(('Comp.'!$D$5:$D$402=$B117)*('Comp.'!$B$5:$B$402&gt;=E$4)*('Comp.'!$B$5:$B$402&lt;=EOMONTH(E$4,0))*('Comp.'!$E$5:$E$402))</f>
        <v>24920</v>
      </c>
      <c r="F117" s="11">
        <f>SUMPRODUCT((Diário!$E$4:$E$2662='Analítico Cp.'!$B117)*(Diário!$C$4:$C$2662&gt;=F$4)*(Diário!$C$4:$C$2662&lt;=EOMONTH(F$4,0))*(Diário!$F$4:$F$2662))
+SUMPRODUCT(('Comp.'!$D$5:$D$402=$B117)*('Comp.'!$B$5:$B$402&gt;=F$4)*('Comp.'!$B$5:$B$402&lt;=EOMONTH(F$4,0))*('Comp.'!$E$5:$E$402))</f>
        <v>26060</v>
      </c>
      <c r="G117" s="11">
        <f>SUMPRODUCT((Diário!$E$4:$E$2662='Analítico Cp.'!$B117)*(Diário!$C$4:$C$2662&gt;=G$4)*(Diário!$C$4:$C$2662&lt;=EOMONTH(G$4,0))*(Diário!$F$4:$F$2662))
+SUMPRODUCT(('Comp.'!$D$5:$D$402=$B117)*('Comp.'!$B$5:$B$402&gt;=G$4)*('Comp.'!$B$5:$B$402&lt;=EOMONTH(G$4,0))*('Comp.'!$E$5:$E$402))</f>
        <v>0</v>
      </c>
      <c r="H117" s="11">
        <f>SUMPRODUCT((Diário!$E$4:$E$2662='Analítico Cp.'!$B117)*(Diário!$C$4:$C$2662&gt;=H$4)*(Diário!$C$4:$C$2662&lt;=EOMONTH(H$4,0))*(Diário!$F$4:$F$2662))
+SUMPRODUCT(('Comp.'!$D$5:$D$402=$B117)*('Comp.'!$B$5:$B$402&gt;=H$4)*('Comp.'!$B$5:$B$402&lt;=EOMONTH(H$4,0))*('Comp.'!$E$5:$E$402))</f>
        <v>52390</v>
      </c>
      <c r="I117" s="11">
        <f>SUMPRODUCT((Diário!$E$4:$E$2662='Analítico Cp.'!$B117)*(Diário!$C$4:$C$2662&gt;=I$4)*(Diário!$C$4:$C$2662&lt;=EOMONTH(I$4,0))*(Diário!$F$4:$F$2662))
+SUMPRODUCT(('Comp.'!$D$5:$D$402=$B117)*('Comp.'!$B$5:$B$402&gt;=I$4)*('Comp.'!$B$5:$B$402&lt;=EOMONTH(I$4,0))*('Comp.'!$E$5:$E$402))</f>
        <v>0</v>
      </c>
      <c r="J117" s="11">
        <f>SUMPRODUCT((Diário!$E$4:$E$2662='Analítico Cp.'!$B117)*(Diário!$C$4:$C$2662&gt;=J$4)*(Diário!$C$4:$C$2662&lt;=EOMONTH(J$4,0))*(Diário!$F$4:$F$2662))
+SUMPRODUCT(('Comp.'!$D$5:$D$402=$B117)*('Comp.'!$B$5:$B$402&gt;=J$4)*('Comp.'!$B$5:$B$402&lt;=EOMONTH(J$4,0))*('Comp.'!$E$5:$E$402))</f>
        <v>0</v>
      </c>
      <c r="K117" s="11">
        <f>SUMPRODUCT((Diário!$E$4:$E$2662='Analítico Cp.'!$B117)*(Diário!$C$4:$C$2662&gt;=K$4)*(Diário!$C$4:$C$2662&lt;=EOMONTH(K$4,0))*(Diário!$F$4:$F$2662))
+SUMPRODUCT(('Comp.'!$D$5:$D$402=$B117)*('Comp.'!$B$5:$B$402&gt;=K$4)*('Comp.'!$B$5:$B$402&lt;=EOMONTH(K$4,0))*('Comp.'!$E$5:$E$402))</f>
        <v>0</v>
      </c>
      <c r="L117" s="11">
        <f>SUMPRODUCT((Diário!$E$4:$E$2662='Analítico Cp.'!$B117)*(Diário!$C$4:$C$2662&gt;=L$4)*(Diário!$C$4:$C$2662&lt;=EOMONTH(L$4,0))*(Diário!$F$4:$F$2662))
+SUMPRODUCT(('Comp.'!$D$5:$D$402=$B117)*('Comp.'!$B$5:$B$402&gt;=L$4)*('Comp.'!$B$5:$B$402&lt;=EOMONTH(L$4,0))*('Comp.'!$E$5:$E$402))</f>
        <v>0</v>
      </c>
      <c r="M117" s="11">
        <f>SUMPRODUCT((Diário!$E$4:$E$2662='Analítico Cp.'!$B117)*(Diário!$C$4:$C$2662&gt;=M$4)*(Diário!$C$4:$C$2662&lt;=EOMONTH(M$4,0))*(Diário!$F$4:$F$2662))
+SUMPRODUCT(('Comp.'!$D$5:$D$402=$B117)*('Comp.'!$B$5:$B$402&gt;=M$4)*('Comp.'!$B$5:$B$402&lt;=EOMONTH(M$4,0))*('Comp.'!$E$5:$E$402))</f>
        <v>0</v>
      </c>
      <c r="N117" s="11">
        <f>SUMPRODUCT((Diário!$E$4:$E$2662='Analítico Cp.'!$B117)*(Diário!$C$4:$C$2662&gt;=N$4)*(Diário!$C$4:$C$2662&lt;=EOMONTH(N$4,0))*(Diário!$F$4:$F$2662))
+SUMPRODUCT(('Comp.'!$D$5:$D$402=$B117)*('Comp.'!$B$5:$B$402&gt;=N$4)*('Comp.'!$B$5:$B$402&lt;=EOMONTH(N$4,0))*('Comp.'!$E$5:$E$402))</f>
        <v>0</v>
      </c>
      <c r="O117" s="12">
        <f t="shared" si="16"/>
        <v>152610</v>
      </c>
      <c r="P117" s="95">
        <f t="shared" si="17"/>
        <v>7.6428393220115583E-3</v>
      </c>
    </row>
    <row r="118" spans="1:16" ht="23.25" customHeight="1">
      <c r="A118" s="40" t="s">
        <v>508</v>
      </c>
      <c r="B118" s="60" t="s">
        <v>455</v>
      </c>
      <c r="C118" s="11">
        <f>SUMPRODUCT((Diário!$E$4:$E$2662='Analítico Cp.'!$B118)*(Diário!$C$4:$C$2662&gt;=C$4)*(Diário!$C$4:$C$2662&lt;=EOMONTH(C$4,0))*(Diário!$F$4:$F$2662))
+SUMPRODUCT(('Comp.'!$D$5:$D$402=$B118)*('Comp.'!$B$5:$B$402&gt;=C$4)*('Comp.'!$B$5:$B$402&lt;=EOMONTH(C$4,0))*('Comp.'!$E$5:$E$402))</f>
        <v>0</v>
      </c>
      <c r="D118" s="11">
        <f>SUMPRODUCT((Diário!$E$4:$E$2662='Analítico Cp.'!$B118)*(Diário!$C$4:$C$2662&gt;=D$4)*(Diário!$C$4:$C$2662&lt;=EOMONTH(D$4,0))*(Diário!$F$4:$F$2662))
+SUMPRODUCT(('Comp.'!$D$5:$D$402=$B118)*('Comp.'!$B$5:$B$402&gt;=D$4)*('Comp.'!$B$5:$B$402&lt;=EOMONTH(D$4,0))*('Comp.'!$E$5:$E$402))</f>
        <v>116141.31999999999</v>
      </c>
      <c r="E118" s="11">
        <f>SUMPRODUCT((Diário!$E$4:$E$2662='Analítico Cp.'!$B118)*(Diário!$C$4:$C$2662&gt;=E$4)*(Diário!$C$4:$C$2662&lt;=EOMONTH(E$4,0))*(Diário!$F$4:$F$2662))
+SUMPRODUCT(('Comp.'!$D$5:$D$402=$B118)*('Comp.'!$B$5:$B$402&gt;=E$4)*('Comp.'!$B$5:$B$402&lt;=EOMONTH(E$4,0))*('Comp.'!$E$5:$E$402))</f>
        <v>0</v>
      </c>
      <c r="F118" s="11">
        <f>SUMPRODUCT((Diário!$E$4:$E$2662='Analítico Cp.'!$B118)*(Diário!$C$4:$C$2662&gt;=F$4)*(Diário!$C$4:$C$2662&lt;=EOMONTH(F$4,0))*(Diário!$F$4:$F$2662))
+SUMPRODUCT(('Comp.'!$D$5:$D$402=$B118)*('Comp.'!$B$5:$B$402&gt;=F$4)*('Comp.'!$B$5:$B$402&lt;=EOMONTH(F$4,0))*('Comp.'!$E$5:$E$402))</f>
        <v>106246.47</v>
      </c>
      <c r="G118" s="11">
        <f>SUMPRODUCT((Diário!$E$4:$E$2662='Analítico Cp.'!$B118)*(Diário!$C$4:$C$2662&gt;=G$4)*(Diário!$C$4:$C$2662&lt;=EOMONTH(G$4,0))*(Diário!$F$4:$F$2662))
+SUMPRODUCT(('Comp.'!$D$5:$D$402=$B118)*('Comp.'!$B$5:$B$402&gt;=G$4)*('Comp.'!$B$5:$B$402&lt;=EOMONTH(G$4,0))*('Comp.'!$E$5:$E$402))</f>
        <v>15467.48</v>
      </c>
      <c r="H118" s="11">
        <f>SUMPRODUCT((Diário!$E$4:$E$2662='Analítico Cp.'!$B118)*(Diário!$C$4:$C$2662&gt;=H$4)*(Diário!$C$4:$C$2662&lt;=EOMONTH(H$4,0))*(Diário!$F$4:$F$2662))
+SUMPRODUCT(('Comp.'!$D$5:$D$402=$B118)*('Comp.'!$B$5:$B$402&gt;=H$4)*('Comp.'!$B$5:$B$402&lt;=EOMONTH(H$4,0))*('Comp.'!$E$5:$E$402))</f>
        <v>3179.61</v>
      </c>
      <c r="I118" s="11">
        <f>SUMPRODUCT((Diário!$E$4:$E$2662='Analítico Cp.'!$B118)*(Diário!$C$4:$C$2662&gt;=I$4)*(Diário!$C$4:$C$2662&lt;=EOMONTH(I$4,0))*(Diário!$F$4:$F$2662))
+SUMPRODUCT(('Comp.'!$D$5:$D$402=$B118)*('Comp.'!$B$5:$B$402&gt;=I$4)*('Comp.'!$B$5:$B$402&lt;=EOMONTH(I$4,0))*('Comp.'!$E$5:$E$402))</f>
        <v>0</v>
      </c>
      <c r="J118" s="11">
        <f>SUMPRODUCT((Diário!$E$4:$E$2662='Analítico Cp.'!$B118)*(Diário!$C$4:$C$2662&gt;=J$4)*(Diário!$C$4:$C$2662&lt;=EOMONTH(J$4,0))*(Diário!$F$4:$F$2662))
+SUMPRODUCT(('Comp.'!$D$5:$D$402=$B118)*('Comp.'!$B$5:$B$402&gt;=J$4)*('Comp.'!$B$5:$B$402&lt;=EOMONTH(J$4,0))*('Comp.'!$E$5:$E$402))</f>
        <v>0</v>
      </c>
      <c r="K118" s="11">
        <f>SUMPRODUCT((Diário!$E$4:$E$2662='Analítico Cp.'!$B118)*(Diário!$C$4:$C$2662&gt;=K$4)*(Diário!$C$4:$C$2662&lt;=EOMONTH(K$4,0))*(Diário!$F$4:$F$2662))
+SUMPRODUCT(('Comp.'!$D$5:$D$402=$B118)*('Comp.'!$B$5:$B$402&gt;=K$4)*('Comp.'!$B$5:$B$402&lt;=EOMONTH(K$4,0))*('Comp.'!$E$5:$E$402))</f>
        <v>0</v>
      </c>
      <c r="L118" s="11">
        <f>SUMPRODUCT((Diário!$E$4:$E$2662='Analítico Cp.'!$B118)*(Diário!$C$4:$C$2662&gt;=L$4)*(Diário!$C$4:$C$2662&lt;=EOMONTH(L$4,0))*(Diário!$F$4:$F$2662))
+SUMPRODUCT(('Comp.'!$D$5:$D$402=$B118)*('Comp.'!$B$5:$B$402&gt;=L$4)*('Comp.'!$B$5:$B$402&lt;=EOMONTH(L$4,0))*('Comp.'!$E$5:$E$402))</f>
        <v>0</v>
      </c>
      <c r="M118" s="11">
        <f>SUMPRODUCT((Diário!$E$4:$E$2662='Analítico Cp.'!$B118)*(Diário!$C$4:$C$2662&gt;=M$4)*(Diário!$C$4:$C$2662&lt;=EOMONTH(M$4,0))*(Diário!$F$4:$F$2662))
+SUMPRODUCT(('Comp.'!$D$5:$D$402=$B118)*('Comp.'!$B$5:$B$402&gt;=M$4)*('Comp.'!$B$5:$B$402&lt;=EOMONTH(M$4,0))*('Comp.'!$E$5:$E$402))</f>
        <v>0</v>
      </c>
      <c r="N118" s="11">
        <f>SUMPRODUCT((Diário!$E$4:$E$2662='Analítico Cp.'!$B118)*(Diário!$C$4:$C$2662&gt;=N$4)*(Diário!$C$4:$C$2662&lt;=EOMONTH(N$4,0))*(Diário!$F$4:$F$2662))
+SUMPRODUCT(('Comp.'!$D$5:$D$402=$B118)*('Comp.'!$B$5:$B$402&gt;=N$4)*('Comp.'!$B$5:$B$402&lt;=EOMONTH(N$4,0))*('Comp.'!$E$5:$E$402))</f>
        <v>0</v>
      </c>
      <c r="O118" s="12">
        <f t="shared" si="16"/>
        <v>241034.87999999998</v>
      </c>
      <c r="P118" s="95">
        <f t="shared" si="17"/>
        <v>1.2071232939128086E-2</v>
      </c>
    </row>
    <row r="119" spans="1:16" ht="23.25" customHeight="1">
      <c r="A119" s="40" t="s">
        <v>509</v>
      </c>
      <c r="B119" s="60" t="s">
        <v>456</v>
      </c>
      <c r="C119" s="11">
        <f>SUMPRODUCT((Diário!$E$4:$E$2662='Analítico Cp.'!$B119)*(Diário!$C$4:$C$2662&gt;=C$4)*(Diário!$C$4:$C$2662&lt;=EOMONTH(C$4,0))*(Diário!$F$4:$F$2662))
+SUMPRODUCT(('Comp.'!$D$5:$D$402=$B119)*('Comp.'!$B$5:$B$402&gt;=C$4)*('Comp.'!$B$5:$B$402&lt;=EOMONTH(C$4,0))*('Comp.'!$E$5:$E$402))</f>
        <v>0</v>
      </c>
      <c r="D119" s="11">
        <f>SUMPRODUCT((Diário!$E$4:$E$2662='Analítico Cp.'!$B119)*(Diário!$C$4:$C$2662&gt;=D$4)*(Diário!$C$4:$C$2662&lt;=EOMONTH(D$4,0))*(Diário!$F$4:$F$2662))
+SUMPRODUCT(('Comp.'!$D$5:$D$402=$B119)*('Comp.'!$B$5:$B$402&gt;=D$4)*('Comp.'!$B$5:$B$402&lt;=EOMONTH(D$4,0))*('Comp.'!$E$5:$E$402))</f>
        <v>0</v>
      </c>
      <c r="E119" s="11">
        <f>SUMPRODUCT((Diário!$E$4:$E$2662='Analítico Cp.'!$B119)*(Diário!$C$4:$C$2662&gt;=E$4)*(Diário!$C$4:$C$2662&lt;=EOMONTH(E$4,0))*(Diário!$F$4:$F$2662))
+SUMPRODUCT(('Comp.'!$D$5:$D$402=$B119)*('Comp.'!$B$5:$B$402&gt;=E$4)*('Comp.'!$B$5:$B$402&lt;=EOMONTH(E$4,0))*('Comp.'!$E$5:$E$402))</f>
        <v>0</v>
      </c>
      <c r="F119" s="11">
        <f>SUMPRODUCT((Diário!$E$4:$E$2662='Analítico Cp.'!$B119)*(Diário!$C$4:$C$2662&gt;=F$4)*(Diário!$C$4:$C$2662&lt;=EOMONTH(F$4,0))*(Diário!$F$4:$F$2662))
+SUMPRODUCT(('Comp.'!$D$5:$D$402=$B119)*('Comp.'!$B$5:$B$402&gt;=F$4)*('Comp.'!$B$5:$B$402&lt;=EOMONTH(F$4,0))*('Comp.'!$E$5:$E$402))</f>
        <v>0</v>
      </c>
      <c r="G119" s="11">
        <f>SUMPRODUCT((Diário!$E$4:$E$2662='Analítico Cp.'!$B119)*(Diário!$C$4:$C$2662&gt;=G$4)*(Diário!$C$4:$C$2662&lt;=EOMONTH(G$4,0))*(Diário!$F$4:$F$2662))
+SUMPRODUCT(('Comp.'!$D$5:$D$402=$B119)*('Comp.'!$B$5:$B$402&gt;=G$4)*('Comp.'!$B$5:$B$402&lt;=EOMONTH(G$4,0))*('Comp.'!$E$5:$E$402))</f>
        <v>0</v>
      </c>
      <c r="H119" s="11">
        <f>SUMPRODUCT((Diário!$E$4:$E$2662='Analítico Cp.'!$B119)*(Diário!$C$4:$C$2662&gt;=H$4)*(Diário!$C$4:$C$2662&lt;=EOMONTH(H$4,0))*(Diário!$F$4:$F$2662))
+SUMPRODUCT(('Comp.'!$D$5:$D$402=$B119)*('Comp.'!$B$5:$B$402&gt;=H$4)*('Comp.'!$B$5:$B$402&lt;=EOMONTH(H$4,0))*('Comp.'!$E$5:$E$402))</f>
        <v>0</v>
      </c>
      <c r="I119" s="11">
        <f>SUMPRODUCT((Diário!$E$4:$E$2662='Analítico Cp.'!$B119)*(Diário!$C$4:$C$2662&gt;=I$4)*(Diário!$C$4:$C$2662&lt;=EOMONTH(I$4,0))*(Diário!$F$4:$F$2662))
+SUMPRODUCT(('Comp.'!$D$5:$D$402=$B119)*('Comp.'!$B$5:$B$402&gt;=I$4)*('Comp.'!$B$5:$B$402&lt;=EOMONTH(I$4,0))*('Comp.'!$E$5:$E$402))</f>
        <v>0</v>
      </c>
      <c r="J119" s="11">
        <f>SUMPRODUCT((Diário!$E$4:$E$2662='Analítico Cp.'!$B119)*(Diário!$C$4:$C$2662&gt;=J$4)*(Diário!$C$4:$C$2662&lt;=EOMONTH(J$4,0))*(Diário!$F$4:$F$2662))
+SUMPRODUCT(('Comp.'!$D$5:$D$402=$B119)*('Comp.'!$B$5:$B$402&gt;=J$4)*('Comp.'!$B$5:$B$402&lt;=EOMONTH(J$4,0))*('Comp.'!$E$5:$E$402))</f>
        <v>0</v>
      </c>
      <c r="K119" s="11">
        <f>SUMPRODUCT((Diário!$E$4:$E$2662='Analítico Cp.'!$B119)*(Diário!$C$4:$C$2662&gt;=K$4)*(Diário!$C$4:$C$2662&lt;=EOMONTH(K$4,0))*(Diário!$F$4:$F$2662))
+SUMPRODUCT(('Comp.'!$D$5:$D$402=$B119)*('Comp.'!$B$5:$B$402&gt;=K$4)*('Comp.'!$B$5:$B$402&lt;=EOMONTH(K$4,0))*('Comp.'!$E$5:$E$402))</f>
        <v>0</v>
      </c>
      <c r="L119" s="11">
        <f>SUMPRODUCT((Diário!$E$4:$E$2662='Analítico Cp.'!$B119)*(Diário!$C$4:$C$2662&gt;=L$4)*(Diário!$C$4:$C$2662&lt;=EOMONTH(L$4,0))*(Diário!$F$4:$F$2662))
+SUMPRODUCT(('Comp.'!$D$5:$D$402=$B119)*('Comp.'!$B$5:$B$402&gt;=L$4)*('Comp.'!$B$5:$B$402&lt;=EOMONTH(L$4,0))*('Comp.'!$E$5:$E$402))</f>
        <v>0</v>
      </c>
      <c r="M119" s="11">
        <f>SUMPRODUCT((Diário!$E$4:$E$2662='Analítico Cp.'!$B119)*(Diário!$C$4:$C$2662&gt;=M$4)*(Diário!$C$4:$C$2662&lt;=EOMONTH(M$4,0))*(Diário!$F$4:$F$2662))
+SUMPRODUCT(('Comp.'!$D$5:$D$402=$B119)*('Comp.'!$B$5:$B$402&gt;=M$4)*('Comp.'!$B$5:$B$402&lt;=EOMONTH(M$4,0))*('Comp.'!$E$5:$E$402))</f>
        <v>0</v>
      </c>
      <c r="N119" s="11">
        <f>SUMPRODUCT((Diário!$E$4:$E$2662='Analítico Cp.'!$B119)*(Diário!$C$4:$C$2662&gt;=N$4)*(Diário!$C$4:$C$2662&lt;=EOMONTH(N$4,0))*(Diário!$F$4:$F$2662))
+SUMPRODUCT(('Comp.'!$D$5:$D$402=$B119)*('Comp.'!$B$5:$B$402&gt;=N$4)*('Comp.'!$B$5:$B$402&lt;=EOMONTH(N$4,0))*('Comp.'!$E$5:$E$402))</f>
        <v>0</v>
      </c>
      <c r="O119" s="12">
        <f t="shared" si="16"/>
        <v>0</v>
      </c>
      <c r="P119" s="95">
        <f t="shared" si="17"/>
        <v>0</v>
      </c>
    </row>
    <row r="120" spans="1:16" ht="23.25" customHeight="1">
      <c r="A120" s="40" t="s">
        <v>510</v>
      </c>
      <c r="B120" s="60" t="s">
        <v>457</v>
      </c>
      <c r="C120" s="11">
        <f>SUMPRODUCT((Diário!$E$4:$E$2662='Analítico Cp.'!$B120)*(Diário!$C$4:$C$2662&gt;=C$4)*(Diário!$C$4:$C$2662&lt;=EOMONTH(C$4,0))*(Diário!$F$4:$F$2662))
+SUMPRODUCT(('Comp.'!$D$5:$D$402=$B120)*('Comp.'!$B$5:$B$402&gt;=C$4)*('Comp.'!$B$5:$B$402&lt;=EOMONTH(C$4,0))*('Comp.'!$E$5:$E$402))</f>
        <v>7743.4400000000005</v>
      </c>
      <c r="D120" s="11">
        <f>SUMPRODUCT((Diário!$E$4:$E$2662='Analítico Cp.'!$B120)*(Diário!$C$4:$C$2662&gt;=D$4)*(Diário!$C$4:$C$2662&lt;=EOMONTH(D$4,0))*(Diário!$F$4:$F$2662))
+SUMPRODUCT(('Comp.'!$D$5:$D$402=$B120)*('Comp.'!$B$5:$B$402&gt;=D$4)*('Comp.'!$B$5:$B$402&lt;=EOMONTH(D$4,0))*('Comp.'!$E$5:$E$402))</f>
        <v>6178.22</v>
      </c>
      <c r="E120" s="11">
        <f>SUMPRODUCT((Diário!$E$4:$E$2662='Analítico Cp.'!$B120)*(Diário!$C$4:$C$2662&gt;=E$4)*(Diário!$C$4:$C$2662&lt;=EOMONTH(E$4,0))*(Diário!$F$4:$F$2662))
+SUMPRODUCT(('Comp.'!$D$5:$D$402=$B120)*('Comp.'!$B$5:$B$402&gt;=E$4)*('Comp.'!$B$5:$B$402&lt;=EOMONTH(E$4,0))*('Comp.'!$E$5:$E$402))</f>
        <v>117248.52</v>
      </c>
      <c r="F120" s="11">
        <f>SUMPRODUCT((Diário!$E$4:$E$2662='Analítico Cp.'!$B120)*(Diário!$C$4:$C$2662&gt;=F$4)*(Diário!$C$4:$C$2662&lt;=EOMONTH(F$4,0))*(Diário!$F$4:$F$2662))
+SUMPRODUCT(('Comp.'!$D$5:$D$402=$B120)*('Comp.'!$B$5:$B$402&gt;=F$4)*('Comp.'!$B$5:$B$402&lt;=EOMONTH(F$4,0))*('Comp.'!$E$5:$E$402))</f>
        <v>35660.5</v>
      </c>
      <c r="G120" s="11">
        <f>SUMPRODUCT((Diário!$E$4:$E$2662='Analítico Cp.'!$B120)*(Diário!$C$4:$C$2662&gt;=G$4)*(Diário!$C$4:$C$2662&lt;=EOMONTH(G$4,0))*(Diário!$F$4:$F$2662))
+SUMPRODUCT(('Comp.'!$D$5:$D$402=$B120)*('Comp.'!$B$5:$B$402&gt;=G$4)*('Comp.'!$B$5:$B$402&lt;=EOMONTH(G$4,0))*('Comp.'!$E$5:$E$402))</f>
        <v>136066.96000000002</v>
      </c>
      <c r="H120" s="11">
        <f>SUMPRODUCT((Diário!$E$4:$E$2662='Analítico Cp.'!$B120)*(Diário!$C$4:$C$2662&gt;=H$4)*(Diário!$C$4:$C$2662&lt;=EOMONTH(H$4,0))*(Diário!$F$4:$F$2662))
+SUMPRODUCT(('Comp.'!$D$5:$D$402=$B120)*('Comp.'!$B$5:$B$402&gt;=H$4)*('Comp.'!$B$5:$B$402&lt;=EOMONTH(H$4,0))*('Comp.'!$E$5:$E$402))</f>
        <v>1011.41</v>
      </c>
      <c r="I120" s="11">
        <f>SUMPRODUCT((Diário!$E$4:$E$2662='Analítico Cp.'!$B120)*(Diário!$C$4:$C$2662&gt;=I$4)*(Diário!$C$4:$C$2662&lt;=EOMONTH(I$4,0))*(Diário!$F$4:$F$2662))
+SUMPRODUCT(('Comp.'!$D$5:$D$402=$B120)*('Comp.'!$B$5:$B$402&gt;=I$4)*('Comp.'!$B$5:$B$402&lt;=EOMONTH(I$4,0))*('Comp.'!$E$5:$E$402))</f>
        <v>0</v>
      </c>
      <c r="J120" s="11">
        <f>SUMPRODUCT((Diário!$E$4:$E$2662='Analítico Cp.'!$B120)*(Diário!$C$4:$C$2662&gt;=J$4)*(Diário!$C$4:$C$2662&lt;=EOMONTH(J$4,0))*(Diário!$F$4:$F$2662))
+SUMPRODUCT(('Comp.'!$D$5:$D$402=$B120)*('Comp.'!$B$5:$B$402&gt;=J$4)*('Comp.'!$B$5:$B$402&lt;=EOMONTH(J$4,0))*('Comp.'!$E$5:$E$402))</f>
        <v>0</v>
      </c>
      <c r="K120" s="11">
        <f>SUMPRODUCT((Diário!$E$4:$E$2662='Analítico Cp.'!$B120)*(Diário!$C$4:$C$2662&gt;=K$4)*(Diário!$C$4:$C$2662&lt;=EOMONTH(K$4,0))*(Diário!$F$4:$F$2662))
+SUMPRODUCT(('Comp.'!$D$5:$D$402=$B120)*('Comp.'!$B$5:$B$402&gt;=K$4)*('Comp.'!$B$5:$B$402&lt;=EOMONTH(K$4,0))*('Comp.'!$E$5:$E$402))</f>
        <v>0</v>
      </c>
      <c r="L120" s="11">
        <f>SUMPRODUCT((Diário!$E$4:$E$2662='Analítico Cp.'!$B120)*(Diário!$C$4:$C$2662&gt;=L$4)*(Diário!$C$4:$C$2662&lt;=EOMONTH(L$4,0))*(Diário!$F$4:$F$2662))
+SUMPRODUCT(('Comp.'!$D$5:$D$402=$B120)*('Comp.'!$B$5:$B$402&gt;=L$4)*('Comp.'!$B$5:$B$402&lt;=EOMONTH(L$4,0))*('Comp.'!$E$5:$E$402))</f>
        <v>0</v>
      </c>
      <c r="M120" s="11">
        <f>SUMPRODUCT((Diário!$E$4:$E$2662='Analítico Cp.'!$B120)*(Diário!$C$4:$C$2662&gt;=M$4)*(Diário!$C$4:$C$2662&lt;=EOMONTH(M$4,0))*(Diário!$F$4:$F$2662))
+SUMPRODUCT(('Comp.'!$D$5:$D$402=$B120)*('Comp.'!$B$5:$B$402&gt;=M$4)*('Comp.'!$B$5:$B$402&lt;=EOMONTH(M$4,0))*('Comp.'!$E$5:$E$402))</f>
        <v>0</v>
      </c>
      <c r="N120" s="11">
        <f>SUMPRODUCT((Diário!$E$4:$E$2662='Analítico Cp.'!$B120)*(Diário!$C$4:$C$2662&gt;=N$4)*(Diário!$C$4:$C$2662&lt;=EOMONTH(N$4,0))*(Diário!$F$4:$F$2662))
+SUMPRODUCT(('Comp.'!$D$5:$D$402=$B120)*('Comp.'!$B$5:$B$402&gt;=N$4)*('Comp.'!$B$5:$B$402&lt;=EOMONTH(N$4,0))*('Comp.'!$E$5:$E$402))</f>
        <v>0</v>
      </c>
      <c r="O120" s="12">
        <f t="shared" si="16"/>
        <v>303909.05</v>
      </c>
      <c r="P120" s="95">
        <f t="shared" si="17"/>
        <v>1.5220025146813292E-2</v>
      </c>
    </row>
    <row r="121" spans="1:16" ht="23.25" customHeight="1">
      <c r="A121" s="40" t="s">
        <v>511</v>
      </c>
      <c r="B121" s="60" t="s">
        <v>458</v>
      </c>
      <c r="C121" s="11">
        <f>SUMPRODUCT((Diário!$E$4:$E$2662='Analítico Cp.'!$B121)*(Diário!$C$4:$C$2662&gt;=C$4)*(Diário!$C$4:$C$2662&lt;=EOMONTH(C$4,0))*(Diário!$F$4:$F$2662))
+SUMPRODUCT(('Comp.'!$D$5:$D$402=$B121)*('Comp.'!$B$5:$B$402&gt;=C$4)*('Comp.'!$B$5:$B$402&lt;=EOMONTH(C$4,0))*('Comp.'!$E$5:$E$402))</f>
        <v>0</v>
      </c>
      <c r="D121" s="11">
        <f>SUMPRODUCT((Diário!$E$4:$E$2662='Analítico Cp.'!$B121)*(Diário!$C$4:$C$2662&gt;=D$4)*(Diário!$C$4:$C$2662&lt;=EOMONTH(D$4,0))*(Diário!$F$4:$F$2662))
+SUMPRODUCT(('Comp.'!$D$5:$D$402=$B121)*('Comp.'!$B$5:$B$402&gt;=D$4)*('Comp.'!$B$5:$B$402&lt;=EOMONTH(D$4,0))*('Comp.'!$E$5:$E$402))</f>
        <v>1967.44</v>
      </c>
      <c r="E121" s="11">
        <f>SUMPRODUCT((Diário!$E$4:$E$2662='Analítico Cp.'!$B121)*(Diário!$C$4:$C$2662&gt;=E$4)*(Diário!$C$4:$C$2662&lt;=EOMONTH(E$4,0))*(Diário!$F$4:$F$2662))
+SUMPRODUCT(('Comp.'!$D$5:$D$402=$B121)*('Comp.'!$B$5:$B$402&gt;=E$4)*('Comp.'!$B$5:$B$402&lt;=EOMONTH(E$4,0))*('Comp.'!$E$5:$E$402))</f>
        <v>4141.22</v>
      </c>
      <c r="F121" s="11">
        <f>SUMPRODUCT((Diário!$E$4:$E$2662='Analítico Cp.'!$B121)*(Diário!$C$4:$C$2662&gt;=F$4)*(Diário!$C$4:$C$2662&lt;=EOMONTH(F$4,0))*(Diário!$F$4:$F$2662))
+SUMPRODUCT(('Comp.'!$D$5:$D$402=$B121)*('Comp.'!$B$5:$B$402&gt;=F$4)*('Comp.'!$B$5:$B$402&lt;=EOMONTH(F$4,0))*('Comp.'!$E$5:$E$402))</f>
        <v>0</v>
      </c>
      <c r="G121" s="11">
        <f>SUMPRODUCT((Diário!$E$4:$E$2662='Analítico Cp.'!$B121)*(Diário!$C$4:$C$2662&gt;=G$4)*(Diário!$C$4:$C$2662&lt;=EOMONTH(G$4,0))*(Diário!$F$4:$F$2662))
+SUMPRODUCT(('Comp.'!$D$5:$D$402=$B121)*('Comp.'!$B$5:$B$402&gt;=G$4)*('Comp.'!$B$5:$B$402&lt;=EOMONTH(G$4,0))*('Comp.'!$E$5:$E$402))</f>
        <v>2058.64</v>
      </c>
      <c r="H121" s="11">
        <f>SUMPRODUCT((Diário!$E$4:$E$2662='Analítico Cp.'!$B121)*(Diário!$C$4:$C$2662&gt;=H$4)*(Diário!$C$4:$C$2662&lt;=EOMONTH(H$4,0))*(Diário!$F$4:$F$2662))
+SUMPRODUCT(('Comp.'!$D$5:$D$402=$B121)*('Comp.'!$B$5:$B$402&gt;=H$4)*('Comp.'!$B$5:$B$402&lt;=EOMONTH(H$4,0))*('Comp.'!$E$5:$E$402))</f>
        <v>2269.54</v>
      </c>
      <c r="I121" s="11">
        <f>SUMPRODUCT((Diário!$E$4:$E$2662='Analítico Cp.'!$B121)*(Diário!$C$4:$C$2662&gt;=I$4)*(Diário!$C$4:$C$2662&lt;=EOMONTH(I$4,0))*(Diário!$F$4:$F$2662))
+SUMPRODUCT(('Comp.'!$D$5:$D$402=$B121)*('Comp.'!$B$5:$B$402&gt;=I$4)*('Comp.'!$B$5:$B$402&lt;=EOMONTH(I$4,0))*('Comp.'!$E$5:$E$402))</f>
        <v>0</v>
      </c>
      <c r="J121" s="11">
        <f>SUMPRODUCT((Diário!$E$4:$E$2662='Analítico Cp.'!$B121)*(Diário!$C$4:$C$2662&gt;=J$4)*(Diário!$C$4:$C$2662&lt;=EOMONTH(J$4,0))*(Diário!$F$4:$F$2662))
+SUMPRODUCT(('Comp.'!$D$5:$D$402=$B121)*('Comp.'!$B$5:$B$402&gt;=J$4)*('Comp.'!$B$5:$B$402&lt;=EOMONTH(J$4,0))*('Comp.'!$E$5:$E$402))</f>
        <v>0</v>
      </c>
      <c r="K121" s="11">
        <f>SUMPRODUCT((Diário!$E$4:$E$2662='Analítico Cp.'!$B121)*(Diário!$C$4:$C$2662&gt;=K$4)*(Diário!$C$4:$C$2662&lt;=EOMONTH(K$4,0))*(Diário!$F$4:$F$2662))
+SUMPRODUCT(('Comp.'!$D$5:$D$402=$B121)*('Comp.'!$B$5:$B$402&gt;=K$4)*('Comp.'!$B$5:$B$402&lt;=EOMONTH(K$4,0))*('Comp.'!$E$5:$E$402))</f>
        <v>0</v>
      </c>
      <c r="L121" s="11">
        <f>SUMPRODUCT((Diário!$E$4:$E$2662='Analítico Cp.'!$B121)*(Diário!$C$4:$C$2662&gt;=L$4)*(Diário!$C$4:$C$2662&lt;=EOMONTH(L$4,0))*(Diário!$F$4:$F$2662))
+SUMPRODUCT(('Comp.'!$D$5:$D$402=$B121)*('Comp.'!$B$5:$B$402&gt;=L$4)*('Comp.'!$B$5:$B$402&lt;=EOMONTH(L$4,0))*('Comp.'!$E$5:$E$402))</f>
        <v>0</v>
      </c>
      <c r="M121" s="11">
        <f>SUMPRODUCT((Diário!$E$4:$E$2662='Analítico Cp.'!$B121)*(Diário!$C$4:$C$2662&gt;=M$4)*(Diário!$C$4:$C$2662&lt;=EOMONTH(M$4,0))*(Diário!$F$4:$F$2662))
+SUMPRODUCT(('Comp.'!$D$5:$D$402=$B121)*('Comp.'!$B$5:$B$402&gt;=M$4)*('Comp.'!$B$5:$B$402&lt;=EOMONTH(M$4,0))*('Comp.'!$E$5:$E$402))</f>
        <v>0</v>
      </c>
      <c r="N121" s="11">
        <f>SUMPRODUCT((Diário!$E$4:$E$2662='Analítico Cp.'!$B121)*(Diário!$C$4:$C$2662&gt;=N$4)*(Diário!$C$4:$C$2662&lt;=EOMONTH(N$4,0))*(Diário!$F$4:$F$2662))
+SUMPRODUCT(('Comp.'!$D$5:$D$402=$B121)*('Comp.'!$B$5:$B$402&gt;=N$4)*('Comp.'!$B$5:$B$402&lt;=EOMONTH(N$4,0))*('Comp.'!$E$5:$E$402))</f>
        <v>0</v>
      </c>
      <c r="O121" s="12">
        <f t="shared" si="16"/>
        <v>10436.84</v>
      </c>
      <c r="P121" s="95">
        <f t="shared" si="17"/>
        <v>5.226858734653241E-4</v>
      </c>
    </row>
    <row r="122" spans="1:16" ht="23.25" customHeight="1">
      <c r="A122" s="40" t="s">
        <v>512</v>
      </c>
      <c r="B122" s="60" t="s">
        <v>459</v>
      </c>
      <c r="C122" s="11">
        <f>SUMPRODUCT((Diário!$E$4:$E$2662='Analítico Cp.'!$B122)*(Diário!$C$4:$C$2662&gt;=C$4)*(Diário!$C$4:$C$2662&lt;=EOMONTH(C$4,0))*(Diário!$F$4:$F$2662))
+SUMPRODUCT(('Comp.'!$D$5:$D$402=$B122)*('Comp.'!$B$5:$B$402&gt;=C$4)*('Comp.'!$B$5:$B$402&lt;=EOMONTH(C$4,0))*('Comp.'!$E$5:$E$402))</f>
        <v>168.13</v>
      </c>
      <c r="D122" s="11">
        <f>SUMPRODUCT((Diário!$E$4:$E$2662='Analítico Cp.'!$B122)*(Diário!$C$4:$C$2662&gt;=D$4)*(Diário!$C$4:$C$2662&lt;=EOMONTH(D$4,0))*(Diário!$F$4:$F$2662))
+SUMPRODUCT(('Comp.'!$D$5:$D$402=$B122)*('Comp.'!$B$5:$B$402&gt;=D$4)*('Comp.'!$B$5:$B$402&lt;=EOMONTH(D$4,0))*('Comp.'!$E$5:$E$402))</f>
        <v>0</v>
      </c>
      <c r="E122" s="11">
        <f>SUMPRODUCT((Diário!$E$4:$E$2662='Analítico Cp.'!$B122)*(Diário!$C$4:$C$2662&gt;=E$4)*(Diário!$C$4:$C$2662&lt;=EOMONTH(E$4,0))*(Diário!$F$4:$F$2662))
+SUMPRODUCT(('Comp.'!$D$5:$D$402=$B122)*('Comp.'!$B$5:$B$402&gt;=E$4)*('Comp.'!$B$5:$B$402&lt;=EOMONTH(E$4,0))*('Comp.'!$E$5:$E$402))</f>
        <v>0</v>
      </c>
      <c r="F122" s="11">
        <f>SUMPRODUCT((Diário!$E$4:$E$2662='Analítico Cp.'!$B122)*(Diário!$C$4:$C$2662&gt;=F$4)*(Diário!$C$4:$C$2662&lt;=EOMONTH(F$4,0))*(Diário!$F$4:$F$2662))
+SUMPRODUCT(('Comp.'!$D$5:$D$402=$B122)*('Comp.'!$B$5:$B$402&gt;=F$4)*('Comp.'!$B$5:$B$402&lt;=EOMONTH(F$4,0))*('Comp.'!$E$5:$E$402))</f>
        <v>372.9</v>
      </c>
      <c r="G122" s="11">
        <f>SUMPRODUCT((Diário!$E$4:$E$2662='Analítico Cp.'!$B122)*(Diário!$C$4:$C$2662&gt;=G$4)*(Diário!$C$4:$C$2662&lt;=EOMONTH(G$4,0))*(Diário!$F$4:$F$2662))
+SUMPRODUCT(('Comp.'!$D$5:$D$402=$B122)*('Comp.'!$B$5:$B$402&gt;=G$4)*('Comp.'!$B$5:$B$402&lt;=EOMONTH(G$4,0))*('Comp.'!$E$5:$E$402))</f>
        <v>0</v>
      </c>
      <c r="H122" s="11">
        <f>SUMPRODUCT((Diário!$E$4:$E$2662='Analítico Cp.'!$B122)*(Diário!$C$4:$C$2662&gt;=H$4)*(Diário!$C$4:$C$2662&lt;=EOMONTH(H$4,0))*(Diário!$F$4:$F$2662))
+SUMPRODUCT(('Comp.'!$D$5:$D$402=$B122)*('Comp.'!$B$5:$B$402&gt;=H$4)*('Comp.'!$B$5:$B$402&lt;=EOMONTH(H$4,0))*('Comp.'!$E$5:$E$402))</f>
        <v>0</v>
      </c>
      <c r="I122" s="11">
        <f>SUMPRODUCT((Diário!$E$4:$E$2662='Analítico Cp.'!$B122)*(Diário!$C$4:$C$2662&gt;=I$4)*(Diário!$C$4:$C$2662&lt;=EOMONTH(I$4,0))*(Diário!$F$4:$F$2662))
+SUMPRODUCT(('Comp.'!$D$5:$D$402=$B122)*('Comp.'!$B$5:$B$402&gt;=I$4)*('Comp.'!$B$5:$B$402&lt;=EOMONTH(I$4,0))*('Comp.'!$E$5:$E$402))</f>
        <v>0</v>
      </c>
      <c r="J122" s="11">
        <f>SUMPRODUCT((Diário!$E$4:$E$2662='Analítico Cp.'!$B122)*(Diário!$C$4:$C$2662&gt;=J$4)*(Diário!$C$4:$C$2662&lt;=EOMONTH(J$4,0))*(Diário!$F$4:$F$2662))
+SUMPRODUCT(('Comp.'!$D$5:$D$402=$B122)*('Comp.'!$B$5:$B$402&gt;=J$4)*('Comp.'!$B$5:$B$402&lt;=EOMONTH(J$4,0))*('Comp.'!$E$5:$E$402))</f>
        <v>0</v>
      </c>
      <c r="K122" s="11">
        <f>SUMPRODUCT((Diário!$E$4:$E$2662='Analítico Cp.'!$B122)*(Diário!$C$4:$C$2662&gt;=K$4)*(Diário!$C$4:$C$2662&lt;=EOMONTH(K$4,0))*(Diário!$F$4:$F$2662))
+SUMPRODUCT(('Comp.'!$D$5:$D$402=$B122)*('Comp.'!$B$5:$B$402&gt;=K$4)*('Comp.'!$B$5:$B$402&lt;=EOMONTH(K$4,0))*('Comp.'!$E$5:$E$402))</f>
        <v>0</v>
      </c>
      <c r="L122" s="11">
        <f>SUMPRODUCT((Diário!$E$4:$E$2662='Analítico Cp.'!$B122)*(Diário!$C$4:$C$2662&gt;=L$4)*(Diário!$C$4:$C$2662&lt;=EOMONTH(L$4,0))*(Diário!$F$4:$F$2662))
+SUMPRODUCT(('Comp.'!$D$5:$D$402=$B122)*('Comp.'!$B$5:$B$402&gt;=L$4)*('Comp.'!$B$5:$B$402&lt;=EOMONTH(L$4,0))*('Comp.'!$E$5:$E$402))</f>
        <v>0</v>
      </c>
      <c r="M122" s="11">
        <f>SUMPRODUCT((Diário!$E$4:$E$2662='Analítico Cp.'!$B122)*(Diário!$C$4:$C$2662&gt;=M$4)*(Diário!$C$4:$C$2662&lt;=EOMONTH(M$4,0))*(Diário!$F$4:$F$2662))
+SUMPRODUCT(('Comp.'!$D$5:$D$402=$B122)*('Comp.'!$B$5:$B$402&gt;=M$4)*('Comp.'!$B$5:$B$402&lt;=EOMONTH(M$4,0))*('Comp.'!$E$5:$E$402))</f>
        <v>0</v>
      </c>
      <c r="N122" s="11">
        <f>SUMPRODUCT((Diário!$E$4:$E$2662='Analítico Cp.'!$B122)*(Diário!$C$4:$C$2662&gt;=N$4)*(Diário!$C$4:$C$2662&lt;=EOMONTH(N$4,0))*(Diário!$F$4:$F$2662))
+SUMPRODUCT(('Comp.'!$D$5:$D$402=$B122)*('Comp.'!$B$5:$B$402&gt;=N$4)*('Comp.'!$B$5:$B$402&lt;=EOMONTH(N$4,0))*('Comp.'!$E$5:$E$402))</f>
        <v>0</v>
      </c>
      <c r="O122" s="12">
        <f t="shared" si="16"/>
        <v>541.03</v>
      </c>
      <c r="P122" s="95">
        <f t="shared" si="17"/>
        <v>2.7095245124093526E-5</v>
      </c>
    </row>
    <row r="123" spans="1:16" ht="23.25" customHeight="1">
      <c r="A123" s="40" t="s">
        <v>513</v>
      </c>
      <c r="B123" s="60" t="s">
        <v>460</v>
      </c>
      <c r="C123" s="11">
        <f>SUMPRODUCT((Diário!$E$4:$E$2662='Analítico Cp.'!$B123)*(Diário!$C$4:$C$2662&gt;=C$4)*(Diário!$C$4:$C$2662&lt;=EOMONTH(C$4,0))*(Diário!$F$4:$F$2662))
+SUMPRODUCT(('Comp.'!$D$5:$D$402=$B123)*('Comp.'!$B$5:$B$402&gt;=C$4)*('Comp.'!$B$5:$B$402&lt;=EOMONTH(C$4,0))*('Comp.'!$E$5:$E$402))</f>
        <v>0</v>
      </c>
      <c r="D123" s="11">
        <f>SUMPRODUCT((Diário!$E$4:$E$2662='Analítico Cp.'!$B123)*(Diário!$C$4:$C$2662&gt;=D$4)*(Diário!$C$4:$C$2662&lt;=EOMONTH(D$4,0))*(Diário!$F$4:$F$2662))
+SUMPRODUCT(('Comp.'!$D$5:$D$402=$B123)*('Comp.'!$B$5:$B$402&gt;=D$4)*('Comp.'!$B$5:$B$402&lt;=EOMONTH(D$4,0))*('Comp.'!$E$5:$E$402))</f>
        <v>9000</v>
      </c>
      <c r="E123" s="11">
        <f>SUMPRODUCT((Diário!$E$4:$E$2662='Analítico Cp.'!$B123)*(Diário!$C$4:$C$2662&gt;=E$4)*(Diário!$C$4:$C$2662&lt;=EOMONTH(E$4,0))*(Diário!$F$4:$F$2662))
+SUMPRODUCT(('Comp.'!$D$5:$D$402=$B123)*('Comp.'!$B$5:$B$402&gt;=E$4)*('Comp.'!$B$5:$B$402&lt;=EOMONTH(E$4,0))*('Comp.'!$E$5:$E$402))</f>
        <v>0</v>
      </c>
      <c r="F123" s="11">
        <f>SUMPRODUCT((Diário!$E$4:$E$2662='Analítico Cp.'!$B123)*(Diário!$C$4:$C$2662&gt;=F$4)*(Diário!$C$4:$C$2662&lt;=EOMONTH(F$4,0))*(Diário!$F$4:$F$2662))
+SUMPRODUCT(('Comp.'!$D$5:$D$402=$B123)*('Comp.'!$B$5:$B$402&gt;=F$4)*('Comp.'!$B$5:$B$402&lt;=EOMONTH(F$4,0))*('Comp.'!$E$5:$E$402))</f>
        <v>30550</v>
      </c>
      <c r="G123" s="11">
        <f>SUMPRODUCT((Diário!$E$4:$E$2662='Analítico Cp.'!$B123)*(Diário!$C$4:$C$2662&gt;=G$4)*(Diário!$C$4:$C$2662&lt;=EOMONTH(G$4,0))*(Diário!$F$4:$F$2662))
+SUMPRODUCT(('Comp.'!$D$5:$D$402=$B123)*('Comp.'!$B$5:$B$402&gt;=G$4)*('Comp.'!$B$5:$B$402&lt;=EOMONTH(G$4,0))*('Comp.'!$E$5:$E$402))</f>
        <v>17700</v>
      </c>
      <c r="H123" s="11">
        <f>SUMPRODUCT((Diário!$E$4:$E$2662='Analítico Cp.'!$B123)*(Diário!$C$4:$C$2662&gt;=H$4)*(Diário!$C$4:$C$2662&lt;=EOMONTH(H$4,0))*(Diário!$F$4:$F$2662))
+SUMPRODUCT(('Comp.'!$D$5:$D$402=$B123)*('Comp.'!$B$5:$B$402&gt;=H$4)*('Comp.'!$B$5:$B$402&lt;=EOMONTH(H$4,0))*('Comp.'!$E$5:$E$402))</f>
        <v>17592.8</v>
      </c>
      <c r="I123" s="11">
        <f>SUMPRODUCT((Diário!$E$4:$E$2662='Analítico Cp.'!$B123)*(Diário!$C$4:$C$2662&gt;=I$4)*(Diário!$C$4:$C$2662&lt;=EOMONTH(I$4,0))*(Diário!$F$4:$F$2662))
+SUMPRODUCT(('Comp.'!$D$5:$D$402=$B123)*('Comp.'!$B$5:$B$402&gt;=I$4)*('Comp.'!$B$5:$B$402&lt;=EOMONTH(I$4,0))*('Comp.'!$E$5:$E$402))</f>
        <v>0</v>
      </c>
      <c r="J123" s="11">
        <f>SUMPRODUCT((Diário!$E$4:$E$2662='Analítico Cp.'!$B123)*(Diário!$C$4:$C$2662&gt;=J$4)*(Diário!$C$4:$C$2662&lt;=EOMONTH(J$4,0))*(Diário!$F$4:$F$2662))
+SUMPRODUCT(('Comp.'!$D$5:$D$402=$B123)*('Comp.'!$B$5:$B$402&gt;=J$4)*('Comp.'!$B$5:$B$402&lt;=EOMONTH(J$4,0))*('Comp.'!$E$5:$E$402))</f>
        <v>0</v>
      </c>
      <c r="K123" s="11">
        <f>SUMPRODUCT((Diário!$E$4:$E$2662='Analítico Cp.'!$B123)*(Diário!$C$4:$C$2662&gt;=K$4)*(Diário!$C$4:$C$2662&lt;=EOMONTH(K$4,0))*(Diário!$F$4:$F$2662))
+SUMPRODUCT(('Comp.'!$D$5:$D$402=$B123)*('Comp.'!$B$5:$B$402&gt;=K$4)*('Comp.'!$B$5:$B$402&lt;=EOMONTH(K$4,0))*('Comp.'!$E$5:$E$402))</f>
        <v>0</v>
      </c>
      <c r="L123" s="11">
        <f>SUMPRODUCT((Diário!$E$4:$E$2662='Analítico Cp.'!$B123)*(Diário!$C$4:$C$2662&gt;=L$4)*(Diário!$C$4:$C$2662&lt;=EOMONTH(L$4,0))*(Diário!$F$4:$F$2662))
+SUMPRODUCT(('Comp.'!$D$5:$D$402=$B123)*('Comp.'!$B$5:$B$402&gt;=L$4)*('Comp.'!$B$5:$B$402&lt;=EOMONTH(L$4,0))*('Comp.'!$E$5:$E$402))</f>
        <v>0</v>
      </c>
      <c r="M123" s="11">
        <f>SUMPRODUCT((Diário!$E$4:$E$2662='Analítico Cp.'!$B123)*(Diário!$C$4:$C$2662&gt;=M$4)*(Diário!$C$4:$C$2662&lt;=EOMONTH(M$4,0))*(Diário!$F$4:$F$2662))
+SUMPRODUCT(('Comp.'!$D$5:$D$402=$B123)*('Comp.'!$B$5:$B$402&gt;=M$4)*('Comp.'!$B$5:$B$402&lt;=EOMONTH(M$4,0))*('Comp.'!$E$5:$E$402))</f>
        <v>0</v>
      </c>
      <c r="N123" s="11">
        <f>SUMPRODUCT((Diário!$E$4:$E$2662='Analítico Cp.'!$B123)*(Diário!$C$4:$C$2662&gt;=N$4)*(Diário!$C$4:$C$2662&lt;=EOMONTH(N$4,0))*(Diário!$F$4:$F$2662))
+SUMPRODUCT(('Comp.'!$D$5:$D$402=$B123)*('Comp.'!$B$5:$B$402&gt;=N$4)*('Comp.'!$B$5:$B$402&lt;=EOMONTH(N$4,0))*('Comp.'!$E$5:$E$402))</f>
        <v>0</v>
      </c>
      <c r="O123" s="12">
        <f t="shared" si="16"/>
        <v>74842.8</v>
      </c>
      <c r="P123" s="95">
        <f t="shared" si="17"/>
        <v>3.7481914344371053E-3</v>
      </c>
    </row>
    <row r="124" spans="1:16" ht="23.25" customHeight="1">
      <c r="A124" s="40" t="s">
        <v>514</v>
      </c>
      <c r="B124" s="60" t="s">
        <v>461</v>
      </c>
      <c r="C124" s="11">
        <f>SUMPRODUCT((Diário!$E$4:$E$2662='Analítico Cp.'!$B124)*(Diário!$C$4:$C$2662&gt;=C$4)*(Diário!$C$4:$C$2662&lt;=EOMONTH(C$4,0))*(Diário!$F$4:$F$2662))
+SUMPRODUCT(('Comp.'!$D$5:$D$402=$B124)*('Comp.'!$B$5:$B$402&gt;=C$4)*('Comp.'!$B$5:$B$402&lt;=EOMONTH(C$4,0))*('Comp.'!$E$5:$E$402))</f>
        <v>46592.359999999993</v>
      </c>
      <c r="D124" s="11">
        <f>SUMPRODUCT((Diário!$E$4:$E$2662='Analítico Cp.'!$B124)*(Diário!$C$4:$C$2662&gt;=D$4)*(Diário!$C$4:$C$2662&lt;=EOMONTH(D$4,0))*(Diário!$F$4:$F$2662))
+SUMPRODUCT(('Comp.'!$D$5:$D$402=$B124)*('Comp.'!$B$5:$B$402&gt;=D$4)*('Comp.'!$B$5:$B$402&lt;=EOMONTH(D$4,0))*('Comp.'!$E$5:$E$402))</f>
        <v>8576.93</v>
      </c>
      <c r="E124" s="11">
        <f>SUMPRODUCT((Diário!$E$4:$E$2662='Analítico Cp.'!$B124)*(Diário!$C$4:$C$2662&gt;=E$4)*(Diário!$C$4:$C$2662&lt;=EOMONTH(E$4,0))*(Diário!$F$4:$F$2662))
+SUMPRODUCT(('Comp.'!$D$5:$D$402=$B124)*('Comp.'!$B$5:$B$402&gt;=E$4)*('Comp.'!$B$5:$B$402&lt;=EOMONTH(E$4,0))*('Comp.'!$E$5:$E$402))</f>
        <v>16778.21</v>
      </c>
      <c r="F124" s="11">
        <f>SUMPRODUCT((Diário!$E$4:$E$2662='Analítico Cp.'!$B124)*(Diário!$C$4:$C$2662&gt;=F$4)*(Diário!$C$4:$C$2662&lt;=EOMONTH(F$4,0))*(Diário!$F$4:$F$2662))
+SUMPRODUCT(('Comp.'!$D$5:$D$402=$B124)*('Comp.'!$B$5:$B$402&gt;=F$4)*('Comp.'!$B$5:$B$402&lt;=EOMONTH(F$4,0))*('Comp.'!$E$5:$E$402))</f>
        <v>18669.670000000006</v>
      </c>
      <c r="G124" s="11">
        <f>SUMPRODUCT((Diário!$E$4:$E$2662='Analítico Cp.'!$B124)*(Diário!$C$4:$C$2662&gt;=G$4)*(Diário!$C$4:$C$2662&lt;=EOMONTH(G$4,0))*(Diário!$F$4:$F$2662))
+SUMPRODUCT(('Comp.'!$D$5:$D$402=$B124)*('Comp.'!$B$5:$B$402&gt;=G$4)*('Comp.'!$B$5:$B$402&lt;=EOMONTH(G$4,0))*('Comp.'!$E$5:$E$402))</f>
        <v>8125</v>
      </c>
      <c r="H124" s="11">
        <f>SUMPRODUCT((Diário!$E$4:$E$2662='Analítico Cp.'!$B124)*(Diário!$C$4:$C$2662&gt;=H$4)*(Diário!$C$4:$C$2662&lt;=EOMONTH(H$4,0))*(Diário!$F$4:$F$2662))
+SUMPRODUCT(('Comp.'!$D$5:$D$402=$B124)*('Comp.'!$B$5:$B$402&gt;=H$4)*('Comp.'!$B$5:$B$402&lt;=EOMONTH(H$4,0))*('Comp.'!$E$5:$E$402))</f>
        <v>256.07</v>
      </c>
      <c r="I124" s="11">
        <f>SUMPRODUCT((Diário!$E$4:$E$2662='Analítico Cp.'!$B124)*(Diário!$C$4:$C$2662&gt;=I$4)*(Diário!$C$4:$C$2662&lt;=EOMONTH(I$4,0))*(Diário!$F$4:$F$2662))
+SUMPRODUCT(('Comp.'!$D$5:$D$402=$B124)*('Comp.'!$B$5:$B$402&gt;=I$4)*('Comp.'!$B$5:$B$402&lt;=EOMONTH(I$4,0))*('Comp.'!$E$5:$E$402))</f>
        <v>0</v>
      </c>
      <c r="J124" s="11">
        <f>SUMPRODUCT((Diário!$E$4:$E$2662='Analítico Cp.'!$B124)*(Diário!$C$4:$C$2662&gt;=J$4)*(Diário!$C$4:$C$2662&lt;=EOMONTH(J$4,0))*(Diário!$F$4:$F$2662))
+SUMPRODUCT(('Comp.'!$D$5:$D$402=$B124)*('Comp.'!$B$5:$B$402&gt;=J$4)*('Comp.'!$B$5:$B$402&lt;=EOMONTH(J$4,0))*('Comp.'!$E$5:$E$402))</f>
        <v>0</v>
      </c>
      <c r="K124" s="11">
        <f>SUMPRODUCT((Diário!$E$4:$E$2662='Analítico Cp.'!$B124)*(Diário!$C$4:$C$2662&gt;=K$4)*(Diário!$C$4:$C$2662&lt;=EOMONTH(K$4,0))*(Diário!$F$4:$F$2662))
+SUMPRODUCT(('Comp.'!$D$5:$D$402=$B124)*('Comp.'!$B$5:$B$402&gt;=K$4)*('Comp.'!$B$5:$B$402&lt;=EOMONTH(K$4,0))*('Comp.'!$E$5:$E$402))</f>
        <v>0</v>
      </c>
      <c r="L124" s="11">
        <f>SUMPRODUCT((Diário!$E$4:$E$2662='Analítico Cp.'!$B124)*(Diário!$C$4:$C$2662&gt;=L$4)*(Diário!$C$4:$C$2662&lt;=EOMONTH(L$4,0))*(Diário!$F$4:$F$2662))
+SUMPRODUCT(('Comp.'!$D$5:$D$402=$B124)*('Comp.'!$B$5:$B$402&gt;=L$4)*('Comp.'!$B$5:$B$402&lt;=EOMONTH(L$4,0))*('Comp.'!$E$5:$E$402))</f>
        <v>0</v>
      </c>
      <c r="M124" s="11">
        <f>SUMPRODUCT((Diário!$E$4:$E$2662='Analítico Cp.'!$B124)*(Diário!$C$4:$C$2662&gt;=M$4)*(Diário!$C$4:$C$2662&lt;=EOMONTH(M$4,0))*(Diário!$F$4:$F$2662))
+SUMPRODUCT(('Comp.'!$D$5:$D$402=$B124)*('Comp.'!$B$5:$B$402&gt;=M$4)*('Comp.'!$B$5:$B$402&lt;=EOMONTH(M$4,0))*('Comp.'!$E$5:$E$402))</f>
        <v>0</v>
      </c>
      <c r="N124" s="11">
        <f>SUMPRODUCT((Diário!$E$4:$E$2662='Analítico Cp.'!$B124)*(Diário!$C$4:$C$2662&gt;=N$4)*(Diário!$C$4:$C$2662&lt;=EOMONTH(N$4,0))*(Diário!$F$4:$F$2662))
+SUMPRODUCT(('Comp.'!$D$5:$D$402=$B124)*('Comp.'!$B$5:$B$402&gt;=N$4)*('Comp.'!$B$5:$B$402&lt;=EOMONTH(N$4,0))*('Comp.'!$E$5:$E$402))</f>
        <v>0</v>
      </c>
      <c r="O124" s="12">
        <f t="shared" si="16"/>
        <v>98998.24000000002</v>
      </c>
      <c r="P124" s="95">
        <f t="shared" si="17"/>
        <v>4.9579165289426489E-3</v>
      </c>
    </row>
    <row r="125" spans="1:16" ht="23.25" customHeight="1">
      <c r="A125" s="40" t="s">
        <v>515</v>
      </c>
      <c r="B125" s="60" t="s">
        <v>462</v>
      </c>
      <c r="C125" s="11">
        <f>SUMPRODUCT((Diário!$E$4:$E$2662='Analítico Cp.'!$B125)*(Diário!$C$4:$C$2662&gt;=C$4)*(Diário!$C$4:$C$2662&lt;=EOMONTH(C$4,0))*(Diário!$F$4:$F$2662))
+SUMPRODUCT(('Comp.'!$D$5:$D$402=$B125)*('Comp.'!$B$5:$B$402&gt;=C$4)*('Comp.'!$B$5:$B$402&lt;=EOMONTH(C$4,0))*('Comp.'!$E$5:$E$402))</f>
        <v>0</v>
      </c>
      <c r="D125" s="11">
        <f>SUMPRODUCT((Diário!$E$4:$E$2662='Analítico Cp.'!$B125)*(Diário!$C$4:$C$2662&gt;=D$4)*(Diário!$C$4:$C$2662&lt;=EOMONTH(D$4,0))*(Diário!$F$4:$F$2662))
+SUMPRODUCT(('Comp.'!$D$5:$D$402=$B125)*('Comp.'!$B$5:$B$402&gt;=D$4)*('Comp.'!$B$5:$B$402&lt;=EOMONTH(D$4,0))*('Comp.'!$E$5:$E$402))</f>
        <v>0</v>
      </c>
      <c r="E125" s="11">
        <f>SUMPRODUCT((Diário!$E$4:$E$2662='Analítico Cp.'!$B125)*(Diário!$C$4:$C$2662&gt;=E$4)*(Diário!$C$4:$C$2662&lt;=EOMONTH(E$4,0))*(Diário!$F$4:$F$2662))
+SUMPRODUCT(('Comp.'!$D$5:$D$402=$B125)*('Comp.'!$B$5:$B$402&gt;=E$4)*('Comp.'!$B$5:$B$402&lt;=EOMONTH(E$4,0))*('Comp.'!$E$5:$E$402))</f>
        <v>1300</v>
      </c>
      <c r="F125" s="11">
        <f>SUMPRODUCT((Diário!$E$4:$E$2662='Analítico Cp.'!$B125)*(Diário!$C$4:$C$2662&gt;=F$4)*(Diário!$C$4:$C$2662&lt;=EOMONTH(F$4,0))*(Diário!$F$4:$F$2662))
+SUMPRODUCT(('Comp.'!$D$5:$D$402=$B125)*('Comp.'!$B$5:$B$402&gt;=F$4)*('Comp.'!$B$5:$B$402&lt;=EOMONTH(F$4,0))*('Comp.'!$E$5:$E$402))</f>
        <v>0</v>
      </c>
      <c r="G125" s="11">
        <f>SUMPRODUCT((Diário!$E$4:$E$2662='Analítico Cp.'!$B125)*(Diário!$C$4:$C$2662&gt;=G$4)*(Diário!$C$4:$C$2662&lt;=EOMONTH(G$4,0))*(Diário!$F$4:$F$2662))
+SUMPRODUCT(('Comp.'!$D$5:$D$402=$B125)*('Comp.'!$B$5:$B$402&gt;=G$4)*('Comp.'!$B$5:$B$402&lt;=EOMONTH(G$4,0))*('Comp.'!$E$5:$E$402))</f>
        <v>2300</v>
      </c>
      <c r="H125" s="11">
        <f>SUMPRODUCT((Diário!$E$4:$E$2662='Analítico Cp.'!$B125)*(Diário!$C$4:$C$2662&gt;=H$4)*(Diário!$C$4:$C$2662&lt;=EOMONTH(H$4,0))*(Diário!$F$4:$F$2662))
+SUMPRODUCT(('Comp.'!$D$5:$D$402=$B125)*('Comp.'!$B$5:$B$402&gt;=H$4)*('Comp.'!$B$5:$B$402&lt;=EOMONTH(H$4,0))*('Comp.'!$E$5:$E$402))</f>
        <v>5276</v>
      </c>
      <c r="I125" s="11">
        <f>SUMPRODUCT((Diário!$E$4:$E$2662='Analítico Cp.'!$B125)*(Diário!$C$4:$C$2662&gt;=I$4)*(Diário!$C$4:$C$2662&lt;=EOMONTH(I$4,0))*(Diário!$F$4:$F$2662))
+SUMPRODUCT(('Comp.'!$D$5:$D$402=$B125)*('Comp.'!$B$5:$B$402&gt;=I$4)*('Comp.'!$B$5:$B$402&lt;=EOMONTH(I$4,0))*('Comp.'!$E$5:$E$402))</f>
        <v>0</v>
      </c>
      <c r="J125" s="11">
        <f>SUMPRODUCT((Diário!$E$4:$E$2662='Analítico Cp.'!$B125)*(Diário!$C$4:$C$2662&gt;=J$4)*(Diário!$C$4:$C$2662&lt;=EOMONTH(J$4,0))*(Diário!$F$4:$F$2662))
+SUMPRODUCT(('Comp.'!$D$5:$D$402=$B125)*('Comp.'!$B$5:$B$402&gt;=J$4)*('Comp.'!$B$5:$B$402&lt;=EOMONTH(J$4,0))*('Comp.'!$E$5:$E$402))</f>
        <v>0</v>
      </c>
      <c r="K125" s="11">
        <f>SUMPRODUCT((Diário!$E$4:$E$2662='Analítico Cp.'!$B125)*(Diário!$C$4:$C$2662&gt;=K$4)*(Diário!$C$4:$C$2662&lt;=EOMONTH(K$4,0))*(Diário!$F$4:$F$2662))
+SUMPRODUCT(('Comp.'!$D$5:$D$402=$B125)*('Comp.'!$B$5:$B$402&gt;=K$4)*('Comp.'!$B$5:$B$402&lt;=EOMONTH(K$4,0))*('Comp.'!$E$5:$E$402))</f>
        <v>0</v>
      </c>
      <c r="L125" s="11">
        <f>SUMPRODUCT((Diário!$E$4:$E$2662='Analítico Cp.'!$B125)*(Diário!$C$4:$C$2662&gt;=L$4)*(Diário!$C$4:$C$2662&lt;=EOMONTH(L$4,0))*(Diário!$F$4:$F$2662))
+SUMPRODUCT(('Comp.'!$D$5:$D$402=$B125)*('Comp.'!$B$5:$B$402&gt;=L$4)*('Comp.'!$B$5:$B$402&lt;=EOMONTH(L$4,0))*('Comp.'!$E$5:$E$402))</f>
        <v>0</v>
      </c>
      <c r="M125" s="11">
        <f>SUMPRODUCT((Diário!$E$4:$E$2662='Analítico Cp.'!$B125)*(Diário!$C$4:$C$2662&gt;=M$4)*(Diário!$C$4:$C$2662&lt;=EOMONTH(M$4,0))*(Diário!$F$4:$F$2662))
+SUMPRODUCT(('Comp.'!$D$5:$D$402=$B125)*('Comp.'!$B$5:$B$402&gt;=M$4)*('Comp.'!$B$5:$B$402&lt;=EOMONTH(M$4,0))*('Comp.'!$E$5:$E$402))</f>
        <v>0</v>
      </c>
      <c r="N125" s="11">
        <f>SUMPRODUCT((Diário!$E$4:$E$2662='Analítico Cp.'!$B125)*(Diário!$C$4:$C$2662&gt;=N$4)*(Diário!$C$4:$C$2662&lt;=EOMONTH(N$4,0))*(Diário!$F$4:$F$2662))
+SUMPRODUCT(('Comp.'!$D$5:$D$402=$B125)*('Comp.'!$B$5:$B$402&gt;=N$4)*('Comp.'!$B$5:$B$402&lt;=EOMONTH(N$4,0))*('Comp.'!$E$5:$E$402))</f>
        <v>0</v>
      </c>
      <c r="O125" s="12">
        <f t="shared" si="16"/>
        <v>8876</v>
      </c>
      <c r="P125" s="95">
        <f t="shared" si="17"/>
        <v>4.4451767133329789E-4</v>
      </c>
    </row>
    <row r="126" spans="1:16" ht="23.25" customHeight="1">
      <c r="A126" s="40" t="s">
        <v>516</v>
      </c>
      <c r="B126" s="60" t="s">
        <v>463</v>
      </c>
      <c r="C126" s="11">
        <f>SUMPRODUCT((Diário!$E$4:$E$2662='Analítico Cp.'!$B126)*(Diário!$C$4:$C$2662&gt;=C$4)*(Diário!$C$4:$C$2662&lt;=EOMONTH(C$4,0))*(Diário!$F$4:$F$2662))
+SUMPRODUCT(('Comp.'!$D$5:$D$402=$B126)*('Comp.'!$B$5:$B$402&gt;=C$4)*('Comp.'!$B$5:$B$402&lt;=EOMONTH(C$4,0))*('Comp.'!$E$5:$E$402))</f>
        <v>13160.9</v>
      </c>
      <c r="D126" s="11">
        <f>SUMPRODUCT((Diário!$E$4:$E$2662='Analítico Cp.'!$B126)*(Diário!$C$4:$C$2662&gt;=D$4)*(Diário!$C$4:$C$2662&lt;=EOMONTH(D$4,0))*(Diário!$F$4:$F$2662))
+SUMPRODUCT(('Comp.'!$D$5:$D$402=$B126)*('Comp.'!$B$5:$B$402&gt;=D$4)*('Comp.'!$B$5:$B$402&lt;=EOMONTH(D$4,0))*('Comp.'!$E$5:$E$402))</f>
        <v>13160.900000000001</v>
      </c>
      <c r="E126" s="11">
        <f>SUMPRODUCT((Diário!$E$4:$E$2662='Analítico Cp.'!$B126)*(Diário!$C$4:$C$2662&gt;=E$4)*(Diário!$C$4:$C$2662&lt;=EOMONTH(E$4,0))*(Diário!$F$4:$F$2662))
+SUMPRODUCT(('Comp.'!$D$5:$D$402=$B126)*('Comp.'!$B$5:$B$402&gt;=E$4)*('Comp.'!$B$5:$B$402&lt;=EOMONTH(E$4,0))*('Comp.'!$E$5:$E$402))</f>
        <v>13160.900000000001</v>
      </c>
      <c r="F126" s="11">
        <f>SUMPRODUCT((Diário!$E$4:$E$2662='Analítico Cp.'!$B126)*(Diário!$C$4:$C$2662&gt;=F$4)*(Diário!$C$4:$C$2662&lt;=EOMONTH(F$4,0))*(Diário!$F$4:$F$2662))
+SUMPRODUCT(('Comp.'!$D$5:$D$402=$B126)*('Comp.'!$B$5:$B$402&gt;=F$4)*('Comp.'!$B$5:$B$402&lt;=EOMONTH(F$4,0))*('Comp.'!$E$5:$E$402))</f>
        <v>13160.900000000001</v>
      </c>
      <c r="G126" s="11">
        <f>SUMPRODUCT((Diário!$E$4:$E$2662='Analítico Cp.'!$B126)*(Diário!$C$4:$C$2662&gt;=G$4)*(Diário!$C$4:$C$2662&lt;=EOMONTH(G$4,0))*(Diário!$F$4:$F$2662))
+SUMPRODUCT(('Comp.'!$D$5:$D$402=$B126)*('Comp.'!$B$5:$B$402&gt;=G$4)*('Comp.'!$B$5:$B$402&lt;=EOMONTH(G$4,0))*('Comp.'!$E$5:$E$402))</f>
        <v>13160.900000000001</v>
      </c>
      <c r="H126" s="11">
        <f>SUMPRODUCT((Diário!$E$4:$E$2662='Analítico Cp.'!$B126)*(Diário!$C$4:$C$2662&gt;=H$4)*(Diário!$C$4:$C$2662&lt;=EOMONTH(H$4,0))*(Diário!$F$4:$F$2662))
+SUMPRODUCT(('Comp.'!$D$5:$D$402=$B126)*('Comp.'!$B$5:$B$402&gt;=H$4)*('Comp.'!$B$5:$B$402&lt;=EOMONTH(H$4,0))*('Comp.'!$E$5:$E$402))</f>
        <v>12014.78</v>
      </c>
      <c r="I126" s="11">
        <f>SUMPRODUCT((Diário!$E$4:$E$2662='Analítico Cp.'!$B126)*(Diário!$C$4:$C$2662&gt;=I$4)*(Diário!$C$4:$C$2662&lt;=EOMONTH(I$4,0))*(Diário!$F$4:$F$2662))
+SUMPRODUCT(('Comp.'!$D$5:$D$402=$B126)*('Comp.'!$B$5:$B$402&gt;=I$4)*('Comp.'!$B$5:$B$402&lt;=EOMONTH(I$4,0))*('Comp.'!$E$5:$E$402))</f>
        <v>0</v>
      </c>
      <c r="J126" s="11">
        <f>SUMPRODUCT((Diário!$E$4:$E$2662='Analítico Cp.'!$B126)*(Diário!$C$4:$C$2662&gt;=J$4)*(Diário!$C$4:$C$2662&lt;=EOMONTH(J$4,0))*(Diário!$F$4:$F$2662))
+SUMPRODUCT(('Comp.'!$D$5:$D$402=$B126)*('Comp.'!$B$5:$B$402&gt;=J$4)*('Comp.'!$B$5:$B$402&lt;=EOMONTH(J$4,0))*('Comp.'!$E$5:$E$402))</f>
        <v>0</v>
      </c>
      <c r="K126" s="11">
        <f>SUMPRODUCT((Diário!$E$4:$E$2662='Analítico Cp.'!$B126)*(Diário!$C$4:$C$2662&gt;=K$4)*(Diário!$C$4:$C$2662&lt;=EOMONTH(K$4,0))*(Diário!$F$4:$F$2662))
+SUMPRODUCT(('Comp.'!$D$5:$D$402=$B126)*('Comp.'!$B$5:$B$402&gt;=K$4)*('Comp.'!$B$5:$B$402&lt;=EOMONTH(K$4,0))*('Comp.'!$E$5:$E$402))</f>
        <v>0</v>
      </c>
      <c r="L126" s="11">
        <f>SUMPRODUCT((Diário!$E$4:$E$2662='Analítico Cp.'!$B126)*(Diário!$C$4:$C$2662&gt;=L$4)*(Diário!$C$4:$C$2662&lt;=EOMONTH(L$4,0))*(Diário!$F$4:$F$2662))
+SUMPRODUCT(('Comp.'!$D$5:$D$402=$B126)*('Comp.'!$B$5:$B$402&gt;=L$4)*('Comp.'!$B$5:$B$402&lt;=EOMONTH(L$4,0))*('Comp.'!$E$5:$E$402))</f>
        <v>0</v>
      </c>
      <c r="M126" s="11">
        <f>SUMPRODUCT((Diário!$E$4:$E$2662='Analítico Cp.'!$B126)*(Diário!$C$4:$C$2662&gt;=M$4)*(Diário!$C$4:$C$2662&lt;=EOMONTH(M$4,0))*(Diário!$F$4:$F$2662))
+SUMPRODUCT(('Comp.'!$D$5:$D$402=$B126)*('Comp.'!$B$5:$B$402&gt;=M$4)*('Comp.'!$B$5:$B$402&lt;=EOMONTH(M$4,0))*('Comp.'!$E$5:$E$402))</f>
        <v>0</v>
      </c>
      <c r="N126" s="11">
        <f>SUMPRODUCT((Diário!$E$4:$E$2662='Analítico Cp.'!$B126)*(Diário!$C$4:$C$2662&gt;=N$4)*(Diário!$C$4:$C$2662&lt;=EOMONTH(N$4,0))*(Diário!$F$4:$F$2662))
+SUMPRODUCT(('Comp.'!$D$5:$D$402=$B126)*('Comp.'!$B$5:$B$402&gt;=N$4)*('Comp.'!$B$5:$B$402&lt;=EOMONTH(N$4,0))*('Comp.'!$E$5:$E$402))</f>
        <v>0</v>
      </c>
      <c r="O126" s="12">
        <f t="shared" si="16"/>
        <v>77819.28</v>
      </c>
      <c r="P126" s="95">
        <f t="shared" si="17"/>
        <v>3.897256098516661E-3</v>
      </c>
    </row>
    <row r="127" spans="1:16" ht="23.25" customHeight="1">
      <c r="A127" s="40" t="s">
        <v>517</v>
      </c>
      <c r="B127" s="60" t="s">
        <v>464</v>
      </c>
      <c r="C127" s="11">
        <f>SUMPRODUCT((Diário!$E$4:$E$2662='Analítico Cp.'!$B127)*(Diário!$C$4:$C$2662&gt;=C$4)*(Diário!$C$4:$C$2662&lt;=EOMONTH(C$4,0))*(Diário!$F$4:$F$2662))
+SUMPRODUCT(('Comp.'!$D$5:$D$402=$B127)*('Comp.'!$B$5:$B$402&gt;=C$4)*('Comp.'!$B$5:$B$402&lt;=EOMONTH(C$4,0))*('Comp.'!$E$5:$E$402))</f>
        <v>0</v>
      </c>
      <c r="D127" s="11">
        <f>SUMPRODUCT((Diário!$E$4:$E$2662='Analítico Cp.'!$B127)*(Diário!$C$4:$C$2662&gt;=D$4)*(Diário!$C$4:$C$2662&lt;=EOMONTH(D$4,0))*(Diário!$F$4:$F$2662))
+SUMPRODUCT(('Comp.'!$D$5:$D$402=$B127)*('Comp.'!$B$5:$B$402&gt;=D$4)*('Comp.'!$B$5:$B$402&lt;=EOMONTH(D$4,0))*('Comp.'!$E$5:$E$402))</f>
        <v>0</v>
      </c>
      <c r="E127" s="11">
        <f>SUMPRODUCT((Diário!$E$4:$E$2662='Analítico Cp.'!$B127)*(Diário!$C$4:$C$2662&gt;=E$4)*(Diário!$C$4:$C$2662&lt;=EOMONTH(E$4,0))*(Diário!$F$4:$F$2662))
+SUMPRODUCT(('Comp.'!$D$5:$D$402=$B127)*('Comp.'!$B$5:$B$402&gt;=E$4)*('Comp.'!$B$5:$B$402&lt;=EOMONTH(E$4,0))*('Comp.'!$E$5:$E$402))</f>
        <v>0</v>
      </c>
      <c r="F127" s="11">
        <f>SUMPRODUCT((Diário!$E$4:$E$2662='Analítico Cp.'!$B127)*(Diário!$C$4:$C$2662&gt;=F$4)*(Diário!$C$4:$C$2662&lt;=EOMONTH(F$4,0))*(Diário!$F$4:$F$2662))
+SUMPRODUCT(('Comp.'!$D$5:$D$402=$B127)*('Comp.'!$B$5:$B$402&gt;=F$4)*('Comp.'!$B$5:$B$402&lt;=EOMONTH(F$4,0))*('Comp.'!$E$5:$E$402))</f>
        <v>0</v>
      </c>
      <c r="G127" s="11">
        <f>SUMPRODUCT((Diário!$E$4:$E$2662='Analítico Cp.'!$B127)*(Diário!$C$4:$C$2662&gt;=G$4)*(Diário!$C$4:$C$2662&lt;=EOMONTH(G$4,0))*(Diário!$F$4:$F$2662))
+SUMPRODUCT(('Comp.'!$D$5:$D$402=$B127)*('Comp.'!$B$5:$B$402&gt;=G$4)*('Comp.'!$B$5:$B$402&lt;=EOMONTH(G$4,0))*('Comp.'!$E$5:$E$402))</f>
        <v>0</v>
      </c>
      <c r="H127" s="11">
        <f>SUMPRODUCT((Diário!$E$4:$E$2662='Analítico Cp.'!$B127)*(Diário!$C$4:$C$2662&gt;=H$4)*(Diário!$C$4:$C$2662&lt;=EOMONTH(H$4,0))*(Diário!$F$4:$F$2662))
+SUMPRODUCT(('Comp.'!$D$5:$D$402=$B127)*('Comp.'!$B$5:$B$402&gt;=H$4)*('Comp.'!$B$5:$B$402&lt;=EOMONTH(H$4,0))*('Comp.'!$E$5:$E$402))</f>
        <v>0</v>
      </c>
      <c r="I127" s="11">
        <f>SUMPRODUCT((Diário!$E$4:$E$2662='Analítico Cp.'!$B127)*(Diário!$C$4:$C$2662&gt;=I$4)*(Diário!$C$4:$C$2662&lt;=EOMONTH(I$4,0))*(Diário!$F$4:$F$2662))
+SUMPRODUCT(('Comp.'!$D$5:$D$402=$B127)*('Comp.'!$B$5:$B$402&gt;=I$4)*('Comp.'!$B$5:$B$402&lt;=EOMONTH(I$4,0))*('Comp.'!$E$5:$E$402))</f>
        <v>0</v>
      </c>
      <c r="J127" s="11">
        <f>SUMPRODUCT((Diário!$E$4:$E$2662='Analítico Cp.'!$B127)*(Diário!$C$4:$C$2662&gt;=J$4)*(Diário!$C$4:$C$2662&lt;=EOMONTH(J$4,0))*(Diário!$F$4:$F$2662))
+SUMPRODUCT(('Comp.'!$D$5:$D$402=$B127)*('Comp.'!$B$5:$B$402&gt;=J$4)*('Comp.'!$B$5:$B$402&lt;=EOMONTH(J$4,0))*('Comp.'!$E$5:$E$402))</f>
        <v>0</v>
      </c>
      <c r="K127" s="11">
        <f>SUMPRODUCT((Diário!$E$4:$E$2662='Analítico Cp.'!$B127)*(Diário!$C$4:$C$2662&gt;=K$4)*(Diário!$C$4:$C$2662&lt;=EOMONTH(K$4,0))*(Diário!$F$4:$F$2662))
+SUMPRODUCT(('Comp.'!$D$5:$D$402=$B127)*('Comp.'!$B$5:$B$402&gt;=K$4)*('Comp.'!$B$5:$B$402&lt;=EOMONTH(K$4,0))*('Comp.'!$E$5:$E$402))</f>
        <v>0</v>
      </c>
      <c r="L127" s="11">
        <f>SUMPRODUCT((Diário!$E$4:$E$2662='Analítico Cp.'!$B127)*(Diário!$C$4:$C$2662&gt;=L$4)*(Diário!$C$4:$C$2662&lt;=EOMONTH(L$4,0))*(Diário!$F$4:$F$2662))
+SUMPRODUCT(('Comp.'!$D$5:$D$402=$B127)*('Comp.'!$B$5:$B$402&gt;=L$4)*('Comp.'!$B$5:$B$402&lt;=EOMONTH(L$4,0))*('Comp.'!$E$5:$E$402))</f>
        <v>0</v>
      </c>
      <c r="M127" s="11">
        <f>SUMPRODUCT((Diário!$E$4:$E$2662='Analítico Cp.'!$B127)*(Diário!$C$4:$C$2662&gt;=M$4)*(Diário!$C$4:$C$2662&lt;=EOMONTH(M$4,0))*(Diário!$F$4:$F$2662))
+SUMPRODUCT(('Comp.'!$D$5:$D$402=$B127)*('Comp.'!$B$5:$B$402&gt;=M$4)*('Comp.'!$B$5:$B$402&lt;=EOMONTH(M$4,0))*('Comp.'!$E$5:$E$402))</f>
        <v>0</v>
      </c>
      <c r="N127" s="11">
        <f>SUMPRODUCT((Diário!$E$4:$E$2662='Analítico Cp.'!$B127)*(Diário!$C$4:$C$2662&gt;=N$4)*(Diário!$C$4:$C$2662&lt;=EOMONTH(N$4,0))*(Diário!$F$4:$F$2662))
+SUMPRODUCT(('Comp.'!$D$5:$D$402=$B127)*('Comp.'!$B$5:$B$402&gt;=N$4)*('Comp.'!$B$5:$B$402&lt;=EOMONTH(N$4,0))*('Comp.'!$E$5:$E$402))</f>
        <v>0</v>
      </c>
      <c r="O127" s="12">
        <f t="shared" si="16"/>
        <v>0</v>
      </c>
      <c r="P127" s="95">
        <f t="shared" si="17"/>
        <v>0</v>
      </c>
    </row>
    <row r="128" spans="1:16" ht="23.25" customHeight="1">
      <c r="A128" s="40" t="s">
        <v>518</v>
      </c>
      <c r="B128" s="60" t="s">
        <v>465</v>
      </c>
      <c r="C128" s="11">
        <f>SUMPRODUCT((Diário!$E$4:$E$2662='Analítico Cp.'!$B128)*(Diário!$C$4:$C$2662&gt;=C$4)*(Diário!$C$4:$C$2662&lt;=EOMONTH(C$4,0))*(Diário!$F$4:$F$2662))
+SUMPRODUCT(('Comp.'!$D$5:$D$402=$B128)*('Comp.'!$B$5:$B$402&gt;=C$4)*('Comp.'!$B$5:$B$402&lt;=EOMONTH(C$4,0))*('Comp.'!$E$5:$E$402))</f>
        <v>7438.1</v>
      </c>
      <c r="D128" s="11">
        <f>SUMPRODUCT((Diário!$E$4:$E$2662='Analítico Cp.'!$B128)*(Diário!$C$4:$C$2662&gt;=D$4)*(Diário!$C$4:$C$2662&lt;=EOMONTH(D$4,0))*(Diário!$F$4:$F$2662))
+SUMPRODUCT(('Comp.'!$D$5:$D$402=$B128)*('Comp.'!$B$5:$B$402&gt;=D$4)*('Comp.'!$B$5:$B$402&lt;=EOMONTH(D$4,0))*('Comp.'!$E$5:$E$402))</f>
        <v>11678.1</v>
      </c>
      <c r="E128" s="11">
        <f>SUMPRODUCT((Diário!$E$4:$E$2662='Analítico Cp.'!$B128)*(Diário!$C$4:$C$2662&gt;=E$4)*(Diário!$C$4:$C$2662&lt;=EOMONTH(E$4,0))*(Diário!$F$4:$F$2662))
+SUMPRODUCT(('Comp.'!$D$5:$D$402=$B128)*('Comp.'!$B$5:$B$402&gt;=E$4)*('Comp.'!$B$5:$B$402&lt;=EOMONTH(E$4,0))*('Comp.'!$E$5:$E$402))</f>
        <v>7091.43</v>
      </c>
      <c r="F128" s="11">
        <f>SUMPRODUCT((Diário!$E$4:$E$2662='Analítico Cp.'!$B128)*(Diário!$C$4:$C$2662&gt;=F$4)*(Diário!$C$4:$C$2662&lt;=EOMONTH(F$4,0))*(Diário!$F$4:$F$2662))
+SUMPRODUCT(('Comp.'!$D$5:$D$402=$B128)*('Comp.'!$B$5:$B$402&gt;=F$4)*('Comp.'!$B$5:$B$402&lt;=EOMONTH(F$4,0))*('Comp.'!$E$5:$E$402))</f>
        <v>7091.43</v>
      </c>
      <c r="G128" s="11">
        <f>SUMPRODUCT((Diário!$E$4:$E$2662='Analítico Cp.'!$B128)*(Diário!$C$4:$C$2662&gt;=G$4)*(Diário!$C$4:$C$2662&lt;=EOMONTH(G$4,0))*(Diário!$F$4:$F$2662))
+SUMPRODUCT(('Comp.'!$D$5:$D$402=$B128)*('Comp.'!$B$5:$B$402&gt;=G$4)*('Comp.'!$B$5:$B$402&lt;=EOMONTH(G$4,0))*('Comp.'!$E$5:$E$402))</f>
        <v>13291.43</v>
      </c>
      <c r="H128" s="11">
        <f>SUMPRODUCT((Diário!$E$4:$E$2662='Analítico Cp.'!$B128)*(Diário!$C$4:$C$2662&gt;=H$4)*(Diário!$C$4:$C$2662&lt;=EOMONTH(H$4,0))*(Diário!$F$4:$F$2662))
+SUMPRODUCT(('Comp.'!$D$5:$D$402=$B128)*('Comp.'!$B$5:$B$402&gt;=H$4)*('Comp.'!$B$5:$B$402&lt;=EOMONTH(H$4,0))*('Comp.'!$E$5:$E$402))</f>
        <v>7841.43</v>
      </c>
      <c r="I128" s="11">
        <f>SUMPRODUCT((Diário!$E$4:$E$2662='Analítico Cp.'!$B128)*(Diário!$C$4:$C$2662&gt;=I$4)*(Diário!$C$4:$C$2662&lt;=EOMONTH(I$4,0))*(Diário!$F$4:$F$2662))
+SUMPRODUCT(('Comp.'!$D$5:$D$402=$B128)*('Comp.'!$B$5:$B$402&gt;=I$4)*('Comp.'!$B$5:$B$402&lt;=EOMONTH(I$4,0))*('Comp.'!$E$5:$E$402))</f>
        <v>0</v>
      </c>
      <c r="J128" s="11">
        <f>SUMPRODUCT((Diário!$E$4:$E$2662='Analítico Cp.'!$B128)*(Diário!$C$4:$C$2662&gt;=J$4)*(Diário!$C$4:$C$2662&lt;=EOMONTH(J$4,0))*(Diário!$F$4:$F$2662))
+SUMPRODUCT(('Comp.'!$D$5:$D$402=$B128)*('Comp.'!$B$5:$B$402&gt;=J$4)*('Comp.'!$B$5:$B$402&lt;=EOMONTH(J$4,0))*('Comp.'!$E$5:$E$402))</f>
        <v>0</v>
      </c>
      <c r="K128" s="11">
        <f>SUMPRODUCT((Diário!$E$4:$E$2662='Analítico Cp.'!$B128)*(Diário!$C$4:$C$2662&gt;=K$4)*(Diário!$C$4:$C$2662&lt;=EOMONTH(K$4,0))*(Diário!$F$4:$F$2662))
+SUMPRODUCT(('Comp.'!$D$5:$D$402=$B128)*('Comp.'!$B$5:$B$402&gt;=K$4)*('Comp.'!$B$5:$B$402&lt;=EOMONTH(K$4,0))*('Comp.'!$E$5:$E$402))</f>
        <v>0</v>
      </c>
      <c r="L128" s="11">
        <f>SUMPRODUCT((Diário!$E$4:$E$2662='Analítico Cp.'!$B128)*(Diário!$C$4:$C$2662&gt;=L$4)*(Diário!$C$4:$C$2662&lt;=EOMONTH(L$4,0))*(Diário!$F$4:$F$2662))
+SUMPRODUCT(('Comp.'!$D$5:$D$402=$B128)*('Comp.'!$B$5:$B$402&gt;=L$4)*('Comp.'!$B$5:$B$402&lt;=EOMONTH(L$4,0))*('Comp.'!$E$5:$E$402))</f>
        <v>0</v>
      </c>
      <c r="M128" s="11">
        <f>SUMPRODUCT((Diário!$E$4:$E$2662='Analítico Cp.'!$B128)*(Diário!$C$4:$C$2662&gt;=M$4)*(Diário!$C$4:$C$2662&lt;=EOMONTH(M$4,0))*(Diário!$F$4:$F$2662))
+SUMPRODUCT(('Comp.'!$D$5:$D$402=$B128)*('Comp.'!$B$5:$B$402&gt;=M$4)*('Comp.'!$B$5:$B$402&lt;=EOMONTH(M$4,0))*('Comp.'!$E$5:$E$402))</f>
        <v>0</v>
      </c>
      <c r="N128" s="11">
        <f>SUMPRODUCT((Diário!$E$4:$E$2662='Analítico Cp.'!$B128)*(Diário!$C$4:$C$2662&gt;=N$4)*(Diário!$C$4:$C$2662&lt;=EOMONTH(N$4,0))*(Diário!$F$4:$F$2662))
+SUMPRODUCT(('Comp.'!$D$5:$D$402=$B128)*('Comp.'!$B$5:$B$402&gt;=N$4)*('Comp.'!$B$5:$B$402&lt;=EOMONTH(N$4,0))*('Comp.'!$E$5:$E$402))</f>
        <v>0</v>
      </c>
      <c r="O128" s="12">
        <f t="shared" si="16"/>
        <v>54431.92</v>
      </c>
      <c r="P128" s="95">
        <f t="shared" si="17"/>
        <v>2.7259971073231594E-3</v>
      </c>
    </row>
    <row r="129" spans="1:16" ht="23.25" customHeight="1">
      <c r="A129" s="40" t="s">
        <v>519</v>
      </c>
      <c r="B129" s="60" t="s">
        <v>466</v>
      </c>
      <c r="C129" s="11">
        <f>SUMPRODUCT((Diário!$E$4:$E$2662='Analítico Cp.'!$B129)*(Diário!$C$4:$C$2662&gt;=C$4)*(Diário!$C$4:$C$2662&lt;=EOMONTH(C$4,0))*(Diário!$F$4:$F$2662))
+SUMPRODUCT(('Comp.'!$D$5:$D$402=$B129)*('Comp.'!$B$5:$B$402&gt;=C$4)*('Comp.'!$B$5:$B$402&lt;=EOMONTH(C$4,0))*('Comp.'!$E$5:$E$402))</f>
        <v>0</v>
      </c>
      <c r="D129" s="11">
        <f>SUMPRODUCT((Diário!$E$4:$E$2662='Analítico Cp.'!$B129)*(Diário!$C$4:$C$2662&gt;=D$4)*(Diário!$C$4:$C$2662&lt;=EOMONTH(D$4,0))*(Diário!$F$4:$F$2662))
+SUMPRODUCT(('Comp.'!$D$5:$D$402=$B129)*('Comp.'!$B$5:$B$402&gt;=D$4)*('Comp.'!$B$5:$B$402&lt;=EOMONTH(D$4,0))*('Comp.'!$E$5:$E$402))</f>
        <v>3300</v>
      </c>
      <c r="E129" s="11">
        <f>SUMPRODUCT((Diário!$E$4:$E$2662='Analítico Cp.'!$B129)*(Diário!$C$4:$C$2662&gt;=E$4)*(Diário!$C$4:$C$2662&lt;=EOMONTH(E$4,0))*(Diário!$F$4:$F$2662))
+SUMPRODUCT(('Comp.'!$D$5:$D$402=$B129)*('Comp.'!$B$5:$B$402&gt;=E$4)*('Comp.'!$B$5:$B$402&lt;=EOMONTH(E$4,0))*('Comp.'!$E$5:$E$402))</f>
        <v>9700</v>
      </c>
      <c r="F129" s="11">
        <f>SUMPRODUCT((Diário!$E$4:$E$2662='Analítico Cp.'!$B129)*(Diário!$C$4:$C$2662&gt;=F$4)*(Diário!$C$4:$C$2662&lt;=EOMONTH(F$4,0))*(Diário!$F$4:$F$2662))
+SUMPRODUCT(('Comp.'!$D$5:$D$402=$B129)*('Comp.'!$B$5:$B$402&gt;=F$4)*('Comp.'!$B$5:$B$402&lt;=EOMONTH(F$4,0))*('Comp.'!$E$5:$E$402))</f>
        <v>5500</v>
      </c>
      <c r="G129" s="11">
        <f>SUMPRODUCT((Diário!$E$4:$E$2662='Analítico Cp.'!$B129)*(Diário!$C$4:$C$2662&gt;=G$4)*(Diário!$C$4:$C$2662&lt;=EOMONTH(G$4,0))*(Diário!$F$4:$F$2662))
+SUMPRODUCT(('Comp.'!$D$5:$D$402=$B129)*('Comp.'!$B$5:$B$402&gt;=G$4)*('Comp.'!$B$5:$B$402&lt;=EOMONTH(G$4,0))*('Comp.'!$E$5:$E$402))</f>
        <v>2800</v>
      </c>
      <c r="H129" s="11">
        <f>SUMPRODUCT((Diário!$E$4:$E$2662='Analítico Cp.'!$B129)*(Diário!$C$4:$C$2662&gt;=H$4)*(Diário!$C$4:$C$2662&lt;=EOMONTH(H$4,0))*(Diário!$F$4:$F$2662))
+SUMPRODUCT(('Comp.'!$D$5:$D$402=$B129)*('Comp.'!$B$5:$B$402&gt;=H$4)*('Comp.'!$B$5:$B$402&lt;=EOMONTH(H$4,0))*('Comp.'!$E$5:$E$402))</f>
        <v>4903.04</v>
      </c>
      <c r="I129" s="11">
        <f>SUMPRODUCT((Diário!$E$4:$E$2662='Analítico Cp.'!$B129)*(Diário!$C$4:$C$2662&gt;=I$4)*(Diário!$C$4:$C$2662&lt;=EOMONTH(I$4,0))*(Diário!$F$4:$F$2662))
+SUMPRODUCT(('Comp.'!$D$5:$D$402=$B129)*('Comp.'!$B$5:$B$402&gt;=I$4)*('Comp.'!$B$5:$B$402&lt;=EOMONTH(I$4,0))*('Comp.'!$E$5:$E$402))</f>
        <v>0</v>
      </c>
      <c r="J129" s="11">
        <f>SUMPRODUCT((Diário!$E$4:$E$2662='Analítico Cp.'!$B129)*(Diário!$C$4:$C$2662&gt;=J$4)*(Diário!$C$4:$C$2662&lt;=EOMONTH(J$4,0))*(Diário!$F$4:$F$2662))
+SUMPRODUCT(('Comp.'!$D$5:$D$402=$B129)*('Comp.'!$B$5:$B$402&gt;=J$4)*('Comp.'!$B$5:$B$402&lt;=EOMONTH(J$4,0))*('Comp.'!$E$5:$E$402))</f>
        <v>0</v>
      </c>
      <c r="K129" s="11">
        <f>SUMPRODUCT((Diário!$E$4:$E$2662='Analítico Cp.'!$B129)*(Diário!$C$4:$C$2662&gt;=K$4)*(Diário!$C$4:$C$2662&lt;=EOMONTH(K$4,0))*(Diário!$F$4:$F$2662))
+SUMPRODUCT(('Comp.'!$D$5:$D$402=$B129)*('Comp.'!$B$5:$B$402&gt;=K$4)*('Comp.'!$B$5:$B$402&lt;=EOMONTH(K$4,0))*('Comp.'!$E$5:$E$402))</f>
        <v>0</v>
      </c>
      <c r="L129" s="11">
        <f>SUMPRODUCT((Diário!$E$4:$E$2662='Analítico Cp.'!$B129)*(Diário!$C$4:$C$2662&gt;=L$4)*(Diário!$C$4:$C$2662&lt;=EOMONTH(L$4,0))*(Diário!$F$4:$F$2662))
+SUMPRODUCT(('Comp.'!$D$5:$D$402=$B129)*('Comp.'!$B$5:$B$402&gt;=L$4)*('Comp.'!$B$5:$B$402&lt;=EOMONTH(L$4,0))*('Comp.'!$E$5:$E$402))</f>
        <v>0</v>
      </c>
      <c r="M129" s="11">
        <f>SUMPRODUCT((Diário!$E$4:$E$2662='Analítico Cp.'!$B129)*(Diário!$C$4:$C$2662&gt;=M$4)*(Diário!$C$4:$C$2662&lt;=EOMONTH(M$4,0))*(Diário!$F$4:$F$2662))
+SUMPRODUCT(('Comp.'!$D$5:$D$402=$B129)*('Comp.'!$B$5:$B$402&gt;=M$4)*('Comp.'!$B$5:$B$402&lt;=EOMONTH(M$4,0))*('Comp.'!$E$5:$E$402))</f>
        <v>0</v>
      </c>
      <c r="N129" s="11">
        <f>SUMPRODUCT((Diário!$E$4:$E$2662='Analítico Cp.'!$B129)*(Diário!$C$4:$C$2662&gt;=N$4)*(Diário!$C$4:$C$2662&lt;=EOMONTH(N$4,0))*(Diário!$F$4:$F$2662))
+SUMPRODUCT(('Comp.'!$D$5:$D$402=$B129)*('Comp.'!$B$5:$B$402&gt;=N$4)*('Comp.'!$B$5:$B$402&lt;=EOMONTH(N$4,0))*('Comp.'!$E$5:$E$402))</f>
        <v>0</v>
      </c>
      <c r="O129" s="12">
        <f t="shared" si="16"/>
        <v>26203.040000000001</v>
      </c>
      <c r="P129" s="95">
        <f t="shared" si="17"/>
        <v>1.3122706537464239E-3</v>
      </c>
    </row>
    <row r="130" spans="1:16" ht="23.25" customHeight="1">
      <c r="A130" s="40" t="s">
        <v>520</v>
      </c>
      <c r="B130" s="60" t="s">
        <v>467</v>
      </c>
      <c r="C130" s="11">
        <f>SUMPRODUCT((Diário!$E$4:$E$2662='Analítico Cp.'!$B130)*(Diário!$C$4:$C$2662&gt;=C$4)*(Diário!$C$4:$C$2662&lt;=EOMONTH(C$4,0))*(Diário!$F$4:$F$2662))
+SUMPRODUCT(('Comp.'!$D$5:$D$402=$B130)*('Comp.'!$B$5:$B$402&gt;=C$4)*('Comp.'!$B$5:$B$402&lt;=EOMONTH(C$4,0))*('Comp.'!$E$5:$E$402))</f>
        <v>0</v>
      </c>
      <c r="D130" s="11">
        <f>SUMPRODUCT((Diário!$E$4:$E$2662='Analítico Cp.'!$B130)*(Diário!$C$4:$C$2662&gt;=D$4)*(Diário!$C$4:$C$2662&lt;=EOMONTH(D$4,0))*(Diário!$F$4:$F$2662))
+SUMPRODUCT(('Comp.'!$D$5:$D$402=$B130)*('Comp.'!$B$5:$B$402&gt;=D$4)*('Comp.'!$B$5:$B$402&lt;=EOMONTH(D$4,0))*('Comp.'!$E$5:$E$402))</f>
        <v>0</v>
      </c>
      <c r="E130" s="11">
        <f>SUMPRODUCT((Diário!$E$4:$E$2662='Analítico Cp.'!$B130)*(Diário!$C$4:$C$2662&gt;=E$4)*(Diário!$C$4:$C$2662&lt;=EOMONTH(E$4,0))*(Diário!$F$4:$F$2662))
+SUMPRODUCT(('Comp.'!$D$5:$D$402=$B130)*('Comp.'!$B$5:$B$402&gt;=E$4)*('Comp.'!$B$5:$B$402&lt;=EOMONTH(E$4,0))*('Comp.'!$E$5:$E$402))</f>
        <v>0</v>
      </c>
      <c r="F130" s="11">
        <f>SUMPRODUCT((Diário!$E$4:$E$2662='Analítico Cp.'!$B130)*(Diário!$C$4:$C$2662&gt;=F$4)*(Diário!$C$4:$C$2662&lt;=EOMONTH(F$4,0))*(Diário!$F$4:$F$2662))
+SUMPRODUCT(('Comp.'!$D$5:$D$402=$B130)*('Comp.'!$B$5:$B$402&gt;=F$4)*('Comp.'!$B$5:$B$402&lt;=EOMONTH(F$4,0))*('Comp.'!$E$5:$E$402))</f>
        <v>1500</v>
      </c>
      <c r="G130" s="11">
        <f>SUMPRODUCT((Diário!$E$4:$E$2662='Analítico Cp.'!$B130)*(Diário!$C$4:$C$2662&gt;=G$4)*(Diário!$C$4:$C$2662&lt;=EOMONTH(G$4,0))*(Diário!$F$4:$F$2662))
+SUMPRODUCT(('Comp.'!$D$5:$D$402=$B130)*('Comp.'!$B$5:$B$402&gt;=G$4)*('Comp.'!$B$5:$B$402&lt;=EOMONTH(G$4,0))*('Comp.'!$E$5:$E$402))</f>
        <v>5995</v>
      </c>
      <c r="H130" s="11">
        <f>SUMPRODUCT((Diário!$E$4:$E$2662='Analítico Cp.'!$B130)*(Diário!$C$4:$C$2662&gt;=H$4)*(Diário!$C$4:$C$2662&lt;=EOMONTH(H$4,0))*(Diário!$F$4:$F$2662))
+SUMPRODUCT(('Comp.'!$D$5:$D$402=$B130)*('Comp.'!$B$5:$B$402&gt;=H$4)*('Comp.'!$B$5:$B$402&lt;=EOMONTH(H$4,0))*('Comp.'!$E$5:$E$402))</f>
        <v>0</v>
      </c>
      <c r="I130" s="11">
        <f>SUMPRODUCT((Diário!$E$4:$E$2662='Analítico Cp.'!$B130)*(Diário!$C$4:$C$2662&gt;=I$4)*(Diário!$C$4:$C$2662&lt;=EOMONTH(I$4,0))*(Diário!$F$4:$F$2662))
+SUMPRODUCT(('Comp.'!$D$5:$D$402=$B130)*('Comp.'!$B$5:$B$402&gt;=I$4)*('Comp.'!$B$5:$B$402&lt;=EOMONTH(I$4,0))*('Comp.'!$E$5:$E$402))</f>
        <v>0</v>
      </c>
      <c r="J130" s="11">
        <f>SUMPRODUCT((Diário!$E$4:$E$2662='Analítico Cp.'!$B130)*(Diário!$C$4:$C$2662&gt;=J$4)*(Diário!$C$4:$C$2662&lt;=EOMONTH(J$4,0))*(Diário!$F$4:$F$2662))
+SUMPRODUCT(('Comp.'!$D$5:$D$402=$B130)*('Comp.'!$B$5:$B$402&gt;=J$4)*('Comp.'!$B$5:$B$402&lt;=EOMONTH(J$4,0))*('Comp.'!$E$5:$E$402))</f>
        <v>0</v>
      </c>
      <c r="K130" s="11">
        <f>SUMPRODUCT((Diário!$E$4:$E$2662='Analítico Cp.'!$B130)*(Diário!$C$4:$C$2662&gt;=K$4)*(Diário!$C$4:$C$2662&lt;=EOMONTH(K$4,0))*(Diário!$F$4:$F$2662))
+SUMPRODUCT(('Comp.'!$D$5:$D$402=$B130)*('Comp.'!$B$5:$B$402&gt;=K$4)*('Comp.'!$B$5:$B$402&lt;=EOMONTH(K$4,0))*('Comp.'!$E$5:$E$402))</f>
        <v>0</v>
      </c>
      <c r="L130" s="11">
        <f>SUMPRODUCT((Diário!$E$4:$E$2662='Analítico Cp.'!$B130)*(Diário!$C$4:$C$2662&gt;=L$4)*(Diário!$C$4:$C$2662&lt;=EOMONTH(L$4,0))*(Diário!$F$4:$F$2662))
+SUMPRODUCT(('Comp.'!$D$5:$D$402=$B130)*('Comp.'!$B$5:$B$402&gt;=L$4)*('Comp.'!$B$5:$B$402&lt;=EOMONTH(L$4,0))*('Comp.'!$E$5:$E$402))</f>
        <v>0</v>
      </c>
      <c r="M130" s="11">
        <f>SUMPRODUCT((Diário!$E$4:$E$2662='Analítico Cp.'!$B130)*(Diário!$C$4:$C$2662&gt;=M$4)*(Diário!$C$4:$C$2662&lt;=EOMONTH(M$4,0))*(Diário!$F$4:$F$2662))
+SUMPRODUCT(('Comp.'!$D$5:$D$402=$B130)*('Comp.'!$B$5:$B$402&gt;=M$4)*('Comp.'!$B$5:$B$402&lt;=EOMONTH(M$4,0))*('Comp.'!$E$5:$E$402))</f>
        <v>0</v>
      </c>
      <c r="N130" s="11">
        <f>SUMPRODUCT((Diário!$E$4:$E$2662='Analítico Cp.'!$B130)*(Diário!$C$4:$C$2662&gt;=N$4)*(Diário!$C$4:$C$2662&lt;=EOMONTH(N$4,0))*(Diário!$F$4:$F$2662))
+SUMPRODUCT(('Comp.'!$D$5:$D$402=$B130)*('Comp.'!$B$5:$B$402&gt;=N$4)*('Comp.'!$B$5:$B$402&lt;=EOMONTH(N$4,0))*('Comp.'!$E$5:$E$402))</f>
        <v>0</v>
      </c>
      <c r="O130" s="12">
        <f t="shared" si="16"/>
        <v>7495</v>
      </c>
      <c r="P130" s="95">
        <f t="shared" si="17"/>
        <v>3.7535601021215271E-4</v>
      </c>
    </row>
    <row r="131" spans="1:16" ht="23.25" customHeight="1">
      <c r="A131" s="40" t="s">
        <v>521</v>
      </c>
      <c r="B131" s="60" t="s">
        <v>468</v>
      </c>
      <c r="C131" s="11">
        <f>SUMPRODUCT((Diário!$E$4:$E$2662='Analítico Cp.'!$B131)*(Diário!$C$4:$C$2662&gt;=C$4)*(Diário!$C$4:$C$2662&lt;=EOMONTH(C$4,0))*(Diário!$F$4:$F$2662))
+SUMPRODUCT(('Comp.'!$D$5:$D$402=$B131)*('Comp.'!$B$5:$B$402&gt;=C$4)*('Comp.'!$B$5:$B$402&lt;=EOMONTH(C$4,0))*('Comp.'!$E$5:$E$402))</f>
        <v>14830.54</v>
      </c>
      <c r="D131" s="11">
        <f>SUMPRODUCT((Diário!$E$4:$E$2662='Analítico Cp.'!$B131)*(Diário!$C$4:$C$2662&gt;=D$4)*(Diário!$C$4:$C$2662&lt;=EOMONTH(D$4,0))*(Diário!$F$4:$F$2662))
+SUMPRODUCT(('Comp.'!$D$5:$D$402=$B131)*('Comp.'!$B$5:$B$402&gt;=D$4)*('Comp.'!$B$5:$B$402&lt;=EOMONTH(D$4,0))*('Comp.'!$E$5:$E$402))</f>
        <v>10423.32</v>
      </c>
      <c r="E131" s="11">
        <f>SUMPRODUCT((Diário!$E$4:$E$2662='Analítico Cp.'!$B131)*(Diário!$C$4:$C$2662&gt;=E$4)*(Diário!$C$4:$C$2662&lt;=EOMONTH(E$4,0))*(Diário!$F$4:$F$2662))
+SUMPRODUCT(('Comp.'!$D$5:$D$402=$B131)*('Comp.'!$B$5:$B$402&gt;=E$4)*('Comp.'!$B$5:$B$402&lt;=EOMONTH(E$4,0))*('Comp.'!$E$5:$E$402))</f>
        <v>10437.469999999999</v>
      </c>
      <c r="F131" s="11">
        <f>SUMPRODUCT((Diário!$E$4:$E$2662='Analítico Cp.'!$B131)*(Diário!$C$4:$C$2662&gt;=F$4)*(Diário!$C$4:$C$2662&lt;=EOMONTH(F$4,0))*(Diário!$F$4:$F$2662))
+SUMPRODUCT(('Comp.'!$D$5:$D$402=$B131)*('Comp.'!$B$5:$B$402&gt;=F$4)*('Comp.'!$B$5:$B$402&lt;=EOMONTH(F$4,0))*('Comp.'!$E$5:$E$402))</f>
        <v>6993.37</v>
      </c>
      <c r="G131" s="11">
        <f>SUMPRODUCT((Diário!$E$4:$E$2662='Analítico Cp.'!$B131)*(Diário!$C$4:$C$2662&gt;=G$4)*(Diário!$C$4:$C$2662&lt;=EOMONTH(G$4,0))*(Diário!$F$4:$F$2662))
+SUMPRODUCT(('Comp.'!$D$5:$D$402=$B131)*('Comp.'!$B$5:$B$402&gt;=G$4)*('Comp.'!$B$5:$B$402&lt;=EOMONTH(G$4,0))*('Comp.'!$E$5:$E$402))</f>
        <v>29085.86</v>
      </c>
      <c r="H131" s="11">
        <f>SUMPRODUCT((Diário!$E$4:$E$2662='Analítico Cp.'!$B131)*(Diário!$C$4:$C$2662&gt;=H$4)*(Diário!$C$4:$C$2662&lt;=EOMONTH(H$4,0))*(Diário!$F$4:$F$2662))
+SUMPRODUCT(('Comp.'!$D$5:$D$402=$B131)*('Comp.'!$B$5:$B$402&gt;=H$4)*('Comp.'!$B$5:$B$402&lt;=EOMONTH(H$4,0))*('Comp.'!$E$5:$E$402))</f>
        <v>3367.92</v>
      </c>
      <c r="I131" s="11">
        <f>SUMPRODUCT((Diário!$E$4:$E$2662='Analítico Cp.'!$B131)*(Diário!$C$4:$C$2662&gt;=I$4)*(Diário!$C$4:$C$2662&lt;=EOMONTH(I$4,0))*(Diário!$F$4:$F$2662))
+SUMPRODUCT(('Comp.'!$D$5:$D$402=$B131)*('Comp.'!$B$5:$B$402&gt;=I$4)*('Comp.'!$B$5:$B$402&lt;=EOMONTH(I$4,0))*('Comp.'!$E$5:$E$402))</f>
        <v>0</v>
      </c>
      <c r="J131" s="11">
        <f>SUMPRODUCT((Diário!$E$4:$E$2662='Analítico Cp.'!$B131)*(Diário!$C$4:$C$2662&gt;=J$4)*(Diário!$C$4:$C$2662&lt;=EOMONTH(J$4,0))*(Diário!$F$4:$F$2662))
+SUMPRODUCT(('Comp.'!$D$5:$D$402=$B131)*('Comp.'!$B$5:$B$402&gt;=J$4)*('Comp.'!$B$5:$B$402&lt;=EOMONTH(J$4,0))*('Comp.'!$E$5:$E$402))</f>
        <v>0</v>
      </c>
      <c r="K131" s="11">
        <f>SUMPRODUCT((Diário!$E$4:$E$2662='Analítico Cp.'!$B131)*(Diário!$C$4:$C$2662&gt;=K$4)*(Diário!$C$4:$C$2662&lt;=EOMONTH(K$4,0))*(Diário!$F$4:$F$2662))
+SUMPRODUCT(('Comp.'!$D$5:$D$402=$B131)*('Comp.'!$B$5:$B$402&gt;=K$4)*('Comp.'!$B$5:$B$402&lt;=EOMONTH(K$4,0))*('Comp.'!$E$5:$E$402))</f>
        <v>0</v>
      </c>
      <c r="L131" s="11">
        <f>SUMPRODUCT((Diário!$E$4:$E$2662='Analítico Cp.'!$B131)*(Diário!$C$4:$C$2662&gt;=L$4)*(Diário!$C$4:$C$2662&lt;=EOMONTH(L$4,0))*(Diário!$F$4:$F$2662))
+SUMPRODUCT(('Comp.'!$D$5:$D$402=$B131)*('Comp.'!$B$5:$B$402&gt;=L$4)*('Comp.'!$B$5:$B$402&lt;=EOMONTH(L$4,0))*('Comp.'!$E$5:$E$402))</f>
        <v>0</v>
      </c>
      <c r="M131" s="11">
        <f>SUMPRODUCT((Diário!$E$4:$E$2662='Analítico Cp.'!$B131)*(Diário!$C$4:$C$2662&gt;=M$4)*(Diário!$C$4:$C$2662&lt;=EOMONTH(M$4,0))*(Diário!$F$4:$F$2662))
+SUMPRODUCT(('Comp.'!$D$5:$D$402=$B131)*('Comp.'!$B$5:$B$402&gt;=M$4)*('Comp.'!$B$5:$B$402&lt;=EOMONTH(M$4,0))*('Comp.'!$E$5:$E$402))</f>
        <v>0</v>
      </c>
      <c r="N131" s="11">
        <f>SUMPRODUCT((Diário!$E$4:$E$2662='Analítico Cp.'!$B131)*(Diário!$C$4:$C$2662&gt;=N$4)*(Diário!$C$4:$C$2662&lt;=EOMONTH(N$4,0))*(Diário!$F$4:$F$2662))
+SUMPRODUCT(('Comp.'!$D$5:$D$402=$B131)*('Comp.'!$B$5:$B$402&gt;=N$4)*('Comp.'!$B$5:$B$402&lt;=EOMONTH(N$4,0))*('Comp.'!$E$5:$E$402))</f>
        <v>0</v>
      </c>
      <c r="O131" s="12">
        <f t="shared" si="16"/>
        <v>75138.48</v>
      </c>
      <c r="P131" s="95">
        <f t="shared" si="17"/>
        <v>3.762999341721899E-3</v>
      </c>
    </row>
    <row r="132" spans="1:16" ht="23.25" customHeight="1">
      <c r="A132" s="40" t="s">
        <v>522</v>
      </c>
      <c r="B132" s="60" t="s">
        <v>469</v>
      </c>
      <c r="C132" s="11">
        <f>SUMPRODUCT((Diário!$E$4:$E$2662='Analítico Cp.'!$B132)*(Diário!$C$4:$C$2662&gt;=C$4)*(Diário!$C$4:$C$2662&lt;=EOMONTH(C$4,0))*(Diário!$F$4:$F$2662))
+SUMPRODUCT(('Comp.'!$D$5:$D$402=$B132)*('Comp.'!$B$5:$B$402&gt;=C$4)*('Comp.'!$B$5:$B$402&lt;=EOMONTH(C$4,0))*('Comp.'!$E$5:$E$402))</f>
        <v>0</v>
      </c>
      <c r="D132" s="11">
        <f>SUMPRODUCT((Diário!$E$4:$E$2662='Analítico Cp.'!$B132)*(Diário!$C$4:$C$2662&gt;=D$4)*(Diário!$C$4:$C$2662&lt;=EOMONTH(D$4,0))*(Diário!$F$4:$F$2662))
+SUMPRODUCT(('Comp.'!$D$5:$D$402=$B132)*('Comp.'!$B$5:$B$402&gt;=D$4)*('Comp.'!$B$5:$B$402&lt;=EOMONTH(D$4,0))*('Comp.'!$E$5:$E$402))</f>
        <v>0</v>
      </c>
      <c r="E132" s="11">
        <f>SUMPRODUCT((Diário!$E$4:$E$2662='Analítico Cp.'!$B132)*(Diário!$C$4:$C$2662&gt;=E$4)*(Diário!$C$4:$C$2662&lt;=EOMONTH(E$4,0))*(Diário!$F$4:$F$2662))
+SUMPRODUCT(('Comp.'!$D$5:$D$402=$B132)*('Comp.'!$B$5:$B$402&gt;=E$4)*('Comp.'!$B$5:$B$402&lt;=EOMONTH(E$4,0))*('Comp.'!$E$5:$E$402))</f>
        <v>0</v>
      </c>
      <c r="F132" s="11">
        <f>SUMPRODUCT((Diário!$E$4:$E$2662='Analítico Cp.'!$B132)*(Diário!$C$4:$C$2662&gt;=F$4)*(Diário!$C$4:$C$2662&lt;=EOMONTH(F$4,0))*(Diário!$F$4:$F$2662))
+SUMPRODUCT(('Comp.'!$D$5:$D$402=$B132)*('Comp.'!$B$5:$B$402&gt;=F$4)*('Comp.'!$B$5:$B$402&lt;=EOMONTH(F$4,0))*('Comp.'!$E$5:$E$402))</f>
        <v>0</v>
      </c>
      <c r="G132" s="11">
        <f>SUMPRODUCT((Diário!$E$4:$E$2662='Analítico Cp.'!$B132)*(Diário!$C$4:$C$2662&gt;=G$4)*(Diário!$C$4:$C$2662&lt;=EOMONTH(G$4,0))*(Diário!$F$4:$F$2662))
+SUMPRODUCT(('Comp.'!$D$5:$D$402=$B132)*('Comp.'!$B$5:$B$402&gt;=G$4)*('Comp.'!$B$5:$B$402&lt;=EOMONTH(G$4,0))*('Comp.'!$E$5:$E$402))</f>
        <v>0</v>
      </c>
      <c r="H132" s="11">
        <f>SUMPRODUCT((Diário!$E$4:$E$2662='Analítico Cp.'!$B132)*(Diário!$C$4:$C$2662&gt;=H$4)*(Diário!$C$4:$C$2662&lt;=EOMONTH(H$4,0))*(Diário!$F$4:$F$2662))
+SUMPRODUCT(('Comp.'!$D$5:$D$402=$B132)*('Comp.'!$B$5:$B$402&gt;=H$4)*('Comp.'!$B$5:$B$402&lt;=EOMONTH(H$4,0))*('Comp.'!$E$5:$E$402))</f>
        <v>0</v>
      </c>
      <c r="I132" s="11">
        <f>SUMPRODUCT((Diário!$E$4:$E$2662='Analítico Cp.'!$B132)*(Diário!$C$4:$C$2662&gt;=I$4)*(Diário!$C$4:$C$2662&lt;=EOMONTH(I$4,0))*(Diário!$F$4:$F$2662))
+SUMPRODUCT(('Comp.'!$D$5:$D$402=$B132)*('Comp.'!$B$5:$B$402&gt;=I$4)*('Comp.'!$B$5:$B$402&lt;=EOMONTH(I$4,0))*('Comp.'!$E$5:$E$402))</f>
        <v>0</v>
      </c>
      <c r="J132" s="11">
        <f>SUMPRODUCT((Diário!$E$4:$E$2662='Analítico Cp.'!$B132)*(Diário!$C$4:$C$2662&gt;=J$4)*(Diário!$C$4:$C$2662&lt;=EOMONTH(J$4,0))*(Diário!$F$4:$F$2662))
+SUMPRODUCT(('Comp.'!$D$5:$D$402=$B132)*('Comp.'!$B$5:$B$402&gt;=J$4)*('Comp.'!$B$5:$B$402&lt;=EOMONTH(J$4,0))*('Comp.'!$E$5:$E$402))</f>
        <v>0</v>
      </c>
      <c r="K132" s="11">
        <f>SUMPRODUCT((Diário!$E$4:$E$2662='Analítico Cp.'!$B132)*(Diário!$C$4:$C$2662&gt;=K$4)*(Diário!$C$4:$C$2662&lt;=EOMONTH(K$4,0))*(Diário!$F$4:$F$2662))
+SUMPRODUCT(('Comp.'!$D$5:$D$402=$B132)*('Comp.'!$B$5:$B$402&gt;=K$4)*('Comp.'!$B$5:$B$402&lt;=EOMONTH(K$4,0))*('Comp.'!$E$5:$E$402))</f>
        <v>0</v>
      </c>
      <c r="L132" s="11">
        <f>SUMPRODUCT((Diário!$E$4:$E$2662='Analítico Cp.'!$B132)*(Diário!$C$4:$C$2662&gt;=L$4)*(Diário!$C$4:$C$2662&lt;=EOMONTH(L$4,0))*(Diário!$F$4:$F$2662))
+SUMPRODUCT(('Comp.'!$D$5:$D$402=$B132)*('Comp.'!$B$5:$B$402&gt;=L$4)*('Comp.'!$B$5:$B$402&lt;=EOMONTH(L$4,0))*('Comp.'!$E$5:$E$402))</f>
        <v>0</v>
      </c>
      <c r="M132" s="11">
        <f>SUMPRODUCT((Diário!$E$4:$E$2662='Analítico Cp.'!$B132)*(Diário!$C$4:$C$2662&gt;=M$4)*(Diário!$C$4:$C$2662&lt;=EOMONTH(M$4,0))*(Diário!$F$4:$F$2662))
+SUMPRODUCT(('Comp.'!$D$5:$D$402=$B132)*('Comp.'!$B$5:$B$402&gt;=M$4)*('Comp.'!$B$5:$B$402&lt;=EOMONTH(M$4,0))*('Comp.'!$E$5:$E$402))</f>
        <v>0</v>
      </c>
      <c r="N132" s="11">
        <f>SUMPRODUCT((Diário!$E$4:$E$2662='Analítico Cp.'!$B132)*(Diário!$C$4:$C$2662&gt;=N$4)*(Diário!$C$4:$C$2662&lt;=EOMONTH(N$4,0))*(Diário!$F$4:$F$2662))
+SUMPRODUCT(('Comp.'!$D$5:$D$402=$B132)*('Comp.'!$B$5:$B$402&gt;=N$4)*('Comp.'!$B$5:$B$402&lt;=EOMONTH(N$4,0))*('Comp.'!$E$5:$E$402))</f>
        <v>0</v>
      </c>
      <c r="O132" s="12">
        <f t="shared" si="16"/>
        <v>0</v>
      </c>
      <c r="P132" s="95">
        <f t="shared" si="17"/>
        <v>0</v>
      </c>
    </row>
    <row r="133" spans="1:16" ht="23.25" customHeight="1">
      <c r="A133" s="40" t="s">
        <v>523</v>
      </c>
      <c r="B133" s="60" t="s">
        <v>470</v>
      </c>
      <c r="C133" s="11">
        <f>SUMPRODUCT((Diário!$E$4:$E$2662='Analítico Cp.'!$B133)*(Diário!$C$4:$C$2662&gt;=C$4)*(Diário!$C$4:$C$2662&lt;=EOMONTH(C$4,0))*(Diário!$F$4:$F$2662))
+SUMPRODUCT(('Comp.'!$D$5:$D$402=$B133)*('Comp.'!$B$5:$B$402&gt;=C$4)*('Comp.'!$B$5:$B$402&lt;=EOMONTH(C$4,0))*('Comp.'!$E$5:$E$402))</f>
        <v>0</v>
      </c>
      <c r="D133" s="11">
        <f>SUMPRODUCT((Diário!$E$4:$E$2662='Analítico Cp.'!$B133)*(Diário!$C$4:$C$2662&gt;=D$4)*(Diário!$C$4:$C$2662&lt;=EOMONTH(D$4,0))*(Diário!$F$4:$F$2662))
+SUMPRODUCT(('Comp.'!$D$5:$D$402=$B133)*('Comp.'!$B$5:$B$402&gt;=D$4)*('Comp.'!$B$5:$B$402&lt;=EOMONTH(D$4,0))*('Comp.'!$E$5:$E$402))</f>
        <v>0</v>
      </c>
      <c r="E133" s="11">
        <f>SUMPRODUCT((Diário!$E$4:$E$2662='Analítico Cp.'!$B133)*(Diário!$C$4:$C$2662&gt;=E$4)*(Diário!$C$4:$C$2662&lt;=EOMONTH(E$4,0))*(Diário!$F$4:$F$2662))
+SUMPRODUCT(('Comp.'!$D$5:$D$402=$B133)*('Comp.'!$B$5:$B$402&gt;=E$4)*('Comp.'!$B$5:$B$402&lt;=EOMONTH(E$4,0))*('Comp.'!$E$5:$E$402))</f>
        <v>0</v>
      </c>
      <c r="F133" s="11">
        <f>SUMPRODUCT((Diário!$E$4:$E$2662='Analítico Cp.'!$B133)*(Diário!$C$4:$C$2662&gt;=F$4)*(Diário!$C$4:$C$2662&lt;=EOMONTH(F$4,0))*(Diário!$F$4:$F$2662))
+SUMPRODUCT(('Comp.'!$D$5:$D$402=$B133)*('Comp.'!$B$5:$B$402&gt;=F$4)*('Comp.'!$B$5:$B$402&lt;=EOMONTH(F$4,0))*('Comp.'!$E$5:$E$402))</f>
        <v>0</v>
      </c>
      <c r="G133" s="11">
        <f>SUMPRODUCT((Diário!$E$4:$E$2662='Analítico Cp.'!$B133)*(Diário!$C$4:$C$2662&gt;=G$4)*(Diário!$C$4:$C$2662&lt;=EOMONTH(G$4,0))*(Diário!$F$4:$F$2662))
+SUMPRODUCT(('Comp.'!$D$5:$D$402=$B133)*('Comp.'!$B$5:$B$402&gt;=G$4)*('Comp.'!$B$5:$B$402&lt;=EOMONTH(G$4,0))*('Comp.'!$E$5:$E$402))</f>
        <v>7207.87</v>
      </c>
      <c r="H133" s="11">
        <f>SUMPRODUCT((Diário!$E$4:$E$2662='Analítico Cp.'!$B133)*(Diário!$C$4:$C$2662&gt;=H$4)*(Diário!$C$4:$C$2662&lt;=EOMONTH(H$4,0))*(Diário!$F$4:$F$2662))
+SUMPRODUCT(('Comp.'!$D$5:$D$402=$B133)*('Comp.'!$B$5:$B$402&gt;=H$4)*('Comp.'!$B$5:$B$402&lt;=EOMONTH(H$4,0))*('Comp.'!$E$5:$E$402))</f>
        <v>4509.6099999999997</v>
      </c>
      <c r="I133" s="11">
        <f>SUMPRODUCT((Diário!$E$4:$E$2662='Analítico Cp.'!$B133)*(Diário!$C$4:$C$2662&gt;=I$4)*(Diário!$C$4:$C$2662&lt;=EOMONTH(I$4,0))*(Diário!$F$4:$F$2662))
+SUMPRODUCT(('Comp.'!$D$5:$D$402=$B133)*('Comp.'!$B$5:$B$402&gt;=I$4)*('Comp.'!$B$5:$B$402&lt;=EOMONTH(I$4,0))*('Comp.'!$E$5:$E$402))</f>
        <v>0</v>
      </c>
      <c r="J133" s="11">
        <f>SUMPRODUCT((Diário!$E$4:$E$2662='Analítico Cp.'!$B133)*(Diário!$C$4:$C$2662&gt;=J$4)*(Diário!$C$4:$C$2662&lt;=EOMONTH(J$4,0))*(Diário!$F$4:$F$2662))
+SUMPRODUCT(('Comp.'!$D$5:$D$402=$B133)*('Comp.'!$B$5:$B$402&gt;=J$4)*('Comp.'!$B$5:$B$402&lt;=EOMONTH(J$4,0))*('Comp.'!$E$5:$E$402))</f>
        <v>0</v>
      </c>
      <c r="K133" s="11">
        <f>SUMPRODUCT((Diário!$E$4:$E$2662='Analítico Cp.'!$B133)*(Diário!$C$4:$C$2662&gt;=K$4)*(Diário!$C$4:$C$2662&lt;=EOMONTH(K$4,0))*(Diário!$F$4:$F$2662))
+SUMPRODUCT(('Comp.'!$D$5:$D$402=$B133)*('Comp.'!$B$5:$B$402&gt;=K$4)*('Comp.'!$B$5:$B$402&lt;=EOMONTH(K$4,0))*('Comp.'!$E$5:$E$402))</f>
        <v>0</v>
      </c>
      <c r="L133" s="11">
        <f>SUMPRODUCT((Diário!$E$4:$E$2662='Analítico Cp.'!$B133)*(Diário!$C$4:$C$2662&gt;=L$4)*(Diário!$C$4:$C$2662&lt;=EOMONTH(L$4,0))*(Diário!$F$4:$F$2662))
+SUMPRODUCT(('Comp.'!$D$5:$D$402=$B133)*('Comp.'!$B$5:$B$402&gt;=L$4)*('Comp.'!$B$5:$B$402&lt;=EOMONTH(L$4,0))*('Comp.'!$E$5:$E$402))</f>
        <v>0</v>
      </c>
      <c r="M133" s="11">
        <f>SUMPRODUCT((Diário!$E$4:$E$2662='Analítico Cp.'!$B133)*(Diário!$C$4:$C$2662&gt;=M$4)*(Diário!$C$4:$C$2662&lt;=EOMONTH(M$4,0))*(Diário!$F$4:$F$2662))
+SUMPRODUCT(('Comp.'!$D$5:$D$402=$B133)*('Comp.'!$B$5:$B$402&gt;=M$4)*('Comp.'!$B$5:$B$402&lt;=EOMONTH(M$4,0))*('Comp.'!$E$5:$E$402))</f>
        <v>0</v>
      </c>
      <c r="N133" s="11">
        <f>SUMPRODUCT((Diário!$E$4:$E$2662='Analítico Cp.'!$B133)*(Diário!$C$4:$C$2662&gt;=N$4)*(Diário!$C$4:$C$2662&lt;=EOMONTH(N$4,0))*(Diário!$F$4:$F$2662))
+SUMPRODUCT(('Comp.'!$D$5:$D$402=$B133)*('Comp.'!$B$5:$B$402&gt;=N$4)*('Comp.'!$B$5:$B$402&lt;=EOMONTH(N$4,0))*('Comp.'!$E$5:$E$402))</f>
        <v>0</v>
      </c>
      <c r="O133" s="12">
        <f t="shared" si="16"/>
        <v>11717.48</v>
      </c>
      <c r="P133" s="95">
        <f t="shared" si="17"/>
        <v>5.8682141995206071E-4</v>
      </c>
    </row>
    <row r="134" spans="1:16" ht="23.25" customHeight="1">
      <c r="A134" s="40" t="s">
        <v>524</v>
      </c>
      <c r="B134" s="60" t="s">
        <v>471</v>
      </c>
      <c r="C134" s="11">
        <f>SUMPRODUCT((Diário!$E$4:$E$2662='Analítico Cp.'!$B134)*(Diário!$C$4:$C$2662&gt;=C$4)*(Diário!$C$4:$C$2662&lt;=EOMONTH(C$4,0))*(Diário!$F$4:$F$2662))
+SUMPRODUCT(('Comp.'!$D$5:$D$402=$B134)*('Comp.'!$B$5:$B$402&gt;=C$4)*('Comp.'!$B$5:$B$402&lt;=EOMONTH(C$4,0))*('Comp.'!$E$5:$E$402))</f>
        <v>2121.96</v>
      </c>
      <c r="D134" s="11">
        <f>SUMPRODUCT((Diário!$E$4:$E$2662='Analítico Cp.'!$B134)*(Diário!$C$4:$C$2662&gt;=D$4)*(Diário!$C$4:$C$2662&lt;=EOMONTH(D$4,0))*(Diário!$F$4:$F$2662))
+SUMPRODUCT(('Comp.'!$D$5:$D$402=$B134)*('Comp.'!$B$5:$B$402&gt;=D$4)*('Comp.'!$B$5:$B$402&lt;=EOMONTH(D$4,0))*('Comp.'!$E$5:$E$402))</f>
        <v>14383.480000000001</v>
      </c>
      <c r="E134" s="11">
        <f>SUMPRODUCT((Diário!$E$4:$E$2662='Analítico Cp.'!$B134)*(Diário!$C$4:$C$2662&gt;=E$4)*(Diário!$C$4:$C$2662&lt;=EOMONTH(E$4,0))*(Diário!$F$4:$F$2662))
+SUMPRODUCT(('Comp.'!$D$5:$D$402=$B134)*('Comp.'!$B$5:$B$402&gt;=E$4)*('Comp.'!$B$5:$B$402&lt;=EOMONTH(E$4,0))*('Comp.'!$E$5:$E$402))</f>
        <v>15759.01</v>
      </c>
      <c r="F134" s="11">
        <f>SUMPRODUCT((Diário!$E$4:$E$2662='Analítico Cp.'!$B134)*(Diário!$C$4:$C$2662&gt;=F$4)*(Diário!$C$4:$C$2662&lt;=EOMONTH(F$4,0))*(Diário!$F$4:$F$2662))
+SUMPRODUCT(('Comp.'!$D$5:$D$402=$B134)*('Comp.'!$B$5:$B$402&gt;=F$4)*('Comp.'!$B$5:$B$402&lt;=EOMONTH(F$4,0))*('Comp.'!$E$5:$E$402))</f>
        <v>12585.6</v>
      </c>
      <c r="G134" s="11">
        <f>SUMPRODUCT((Diário!$E$4:$E$2662='Analítico Cp.'!$B134)*(Diário!$C$4:$C$2662&gt;=G$4)*(Diário!$C$4:$C$2662&lt;=EOMONTH(G$4,0))*(Diário!$F$4:$F$2662))
+SUMPRODUCT(('Comp.'!$D$5:$D$402=$B134)*('Comp.'!$B$5:$B$402&gt;=G$4)*('Comp.'!$B$5:$B$402&lt;=EOMONTH(G$4,0))*('Comp.'!$E$5:$E$402))</f>
        <v>16621</v>
      </c>
      <c r="H134" s="11">
        <f>SUMPRODUCT((Diário!$E$4:$E$2662='Analítico Cp.'!$B134)*(Diário!$C$4:$C$2662&gt;=H$4)*(Diário!$C$4:$C$2662&lt;=EOMONTH(H$4,0))*(Diário!$F$4:$F$2662))
+SUMPRODUCT(('Comp.'!$D$5:$D$402=$B134)*('Comp.'!$B$5:$B$402&gt;=H$4)*('Comp.'!$B$5:$B$402&lt;=EOMONTH(H$4,0))*('Comp.'!$E$5:$E$402))</f>
        <v>17950.039999999997</v>
      </c>
      <c r="I134" s="11">
        <f>SUMPRODUCT((Diário!$E$4:$E$2662='Analítico Cp.'!$B134)*(Diário!$C$4:$C$2662&gt;=I$4)*(Diário!$C$4:$C$2662&lt;=EOMONTH(I$4,0))*(Diário!$F$4:$F$2662))
+SUMPRODUCT(('Comp.'!$D$5:$D$402=$B134)*('Comp.'!$B$5:$B$402&gt;=I$4)*('Comp.'!$B$5:$B$402&lt;=EOMONTH(I$4,0))*('Comp.'!$E$5:$E$402))</f>
        <v>0</v>
      </c>
      <c r="J134" s="11">
        <f>SUMPRODUCT((Diário!$E$4:$E$2662='Analítico Cp.'!$B134)*(Diário!$C$4:$C$2662&gt;=J$4)*(Diário!$C$4:$C$2662&lt;=EOMONTH(J$4,0))*(Diário!$F$4:$F$2662))
+SUMPRODUCT(('Comp.'!$D$5:$D$402=$B134)*('Comp.'!$B$5:$B$402&gt;=J$4)*('Comp.'!$B$5:$B$402&lt;=EOMONTH(J$4,0))*('Comp.'!$E$5:$E$402))</f>
        <v>0</v>
      </c>
      <c r="K134" s="11">
        <f>SUMPRODUCT((Diário!$E$4:$E$2662='Analítico Cp.'!$B134)*(Diário!$C$4:$C$2662&gt;=K$4)*(Diário!$C$4:$C$2662&lt;=EOMONTH(K$4,0))*(Diário!$F$4:$F$2662))
+SUMPRODUCT(('Comp.'!$D$5:$D$402=$B134)*('Comp.'!$B$5:$B$402&gt;=K$4)*('Comp.'!$B$5:$B$402&lt;=EOMONTH(K$4,0))*('Comp.'!$E$5:$E$402))</f>
        <v>0</v>
      </c>
      <c r="L134" s="11">
        <f>SUMPRODUCT((Diário!$E$4:$E$2662='Analítico Cp.'!$B134)*(Diário!$C$4:$C$2662&gt;=L$4)*(Diário!$C$4:$C$2662&lt;=EOMONTH(L$4,0))*(Diário!$F$4:$F$2662))
+SUMPRODUCT(('Comp.'!$D$5:$D$402=$B134)*('Comp.'!$B$5:$B$402&gt;=L$4)*('Comp.'!$B$5:$B$402&lt;=EOMONTH(L$4,0))*('Comp.'!$E$5:$E$402))</f>
        <v>0</v>
      </c>
      <c r="M134" s="11">
        <f>SUMPRODUCT((Diário!$E$4:$E$2662='Analítico Cp.'!$B134)*(Diário!$C$4:$C$2662&gt;=M$4)*(Diário!$C$4:$C$2662&lt;=EOMONTH(M$4,0))*(Diário!$F$4:$F$2662))
+SUMPRODUCT(('Comp.'!$D$5:$D$402=$B134)*('Comp.'!$B$5:$B$402&gt;=M$4)*('Comp.'!$B$5:$B$402&lt;=EOMONTH(M$4,0))*('Comp.'!$E$5:$E$402))</f>
        <v>0</v>
      </c>
      <c r="N134" s="11">
        <f>SUMPRODUCT((Diário!$E$4:$E$2662='Analítico Cp.'!$B134)*(Diário!$C$4:$C$2662&gt;=N$4)*(Diário!$C$4:$C$2662&lt;=EOMONTH(N$4,0))*(Diário!$F$4:$F$2662))
+SUMPRODUCT(('Comp.'!$D$5:$D$402=$B134)*('Comp.'!$B$5:$B$402&gt;=N$4)*('Comp.'!$B$5:$B$402&lt;=EOMONTH(N$4,0))*('Comp.'!$E$5:$E$402))</f>
        <v>0</v>
      </c>
      <c r="O134" s="12">
        <f t="shared" si="16"/>
        <v>79421.09</v>
      </c>
      <c r="P134" s="95">
        <f t="shared" si="17"/>
        <v>3.9774761132888988E-3</v>
      </c>
    </row>
    <row r="135" spans="1:16" ht="23.25" customHeight="1">
      <c r="A135" s="40" t="s">
        <v>525</v>
      </c>
      <c r="B135" s="60" t="s">
        <v>472</v>
      </c>
      <c r="C135" s="11">
        <f>SUMPRODUCT((Diário!$E$4:$E$2662='Analítico Cp.'!$B135)*(Diário!$C$4:$C$2662&gt;=C$4)*(Diário!$C$4:$C$2662&lt;=EOMONTH(C$4,0))*(Diário!$F$4:$F$2662))
+SUMPRODUCT(('Comp.'!$D$5:$D$402=$B135)*('Comp.'!$B$5:$B$402&gt;=C$4)*('Comp.'!$B$5:$B$402&lt;=EOMONTH(C$4,0))*('Comp.'!$E$5:$E$402))</f>
        <v>0</v>
      </c>
      <c r="D135" s="11">
        <f>SUMPRODUCT((Diário!$E$4:$E$2662='Analítico Cp.'!$B135)*(Diário!$C$4:$C$2662&gt;=D$4)*(Diário!$C$4:$C$2662&lt;=EOMONTH(D$4,0))*(Diário!$F$4:$F$2662))
+SUMPRODUCT(('Comp.'!$D$5:$D$402=$B135)*('Comp.'!$B$5:$B$402&gt;=D$4)*('Comp.'!$B$5:$B$402&lt;=EOMONTH(D$4,0))*('Comp.'!$E$5:$E$402))</f>
        <v>0</v>
      </c>
      <c r="E135" s="11">
        <f>SUMPRODUCT((Diário!$E$4:$E$2662='Analítico Cp.'!$B135)*(Diário!$C$4:$C$2662&gt;=E$4)*(Diário!$C$4:$C$2662&lt;=EOMONTH(E$4,0))*(Diário!$F$4:$F$2662))
+SUMPRODUCT(('Comp.'!$D$5:$D$402=$B135)*('Comp.'!$B$5:$B$402&gt;=E$4)*('Comp.'!$B$5:$B$402&lt;=EOMONTH(E$4,0))*('Comp.'!$E$5:$E$402))</f>
        <v>4875</v>
      </c>
      <c r="F135" s="11">
        <f>SUMPRODUCT((Diário!$E$4:$E$2662='Analítico Cp.'!$B135)*(Diário!$C$4:$C$2662&gt;=F$4)*(Diário!$C$4:$C$2662&lt;=EOMONTH(F$4,0))*(Diário!$F$4:$F$2662))
+SUMPRODUCT(('Comp.'!$D$5:$D$402=$B135)*('Comp.'!$B$5:$B$402&gt;=F$4)*('Comp.'!$B$5:$B$402&lt;=EOMONTH(F$4,0))*('Comp.'!$E$5:$E$402))</f>
        <v>0</v>
      </c>
      <c r="G135" s="11">
        <f>SUMPRODUCT((Diário!$E$4:$E$2662='Analítico Cp.'!$B135)*(Diário!$C$4:$C$2662&gt;=G$4)*(Diário!$C$4:$C$2662&lt;=EOMONTH(G$4,0))*(Diário!$F$4:$F$2662))
+SUMPRODUCT(('Comp.'!$D$5:$D$402=$B135)*('Comp.'!$B$5:$B$402&gt;=G$4)*('Comp.'!$B$5:$B$402&lt;=EOMONTH(G$4,0))*('Comp.'!$E$5:$E$402))</f>
        <v>9750</v>
      </c>
      <c r="H135" s="11">
        <f>SUMPRODUCT((Diário!$E$4:$E$2662='Analítico Cp.'!$B135)*(Diário!$C$4:$C$2662&gt;=H$4)*(Diário!$C$4:$C$2662&lt;=EOMONTH(H$4,0))*(Diário!$F$4:$F$2662))
+SUMPRODUCT(('Comp.'!$D$5:$D$402=$B135)*('Comp.'!$B$5:$B$402&gt;=H$4)*('Comp.'!$B$5:$B$402&lt;=EOMONTH(H$4,0))*('Comp.'!$E$5:$E$402))</f>
        <v>4745.32</v>
      </c>
      <c r="I135" s="11">
        <f>SUMPRODUCT((Diário!$E$4:$E$2662='Analítico Cp.'!$B135)*(Diário!$C$4:$C$2662&gt;=I$4)*(Diário!$C$4:$C$2662&lt;=EOMONTH(I$4,0))*(Diário!$F$4:$F$2662))
+SUMPRODUCT(('Comp.'!$D$5:$D$402=$B135)*('Comp.'!$B$5:$B$402&gt;=I$4)*('Comp.'!$B$5:$B$402&lt;=EOMONTH(I$4,0))*('Comp.'!$E$5:$E$402))</f>
        <v>0</v>
      </c>
      <c r="J135" s="11">
        <f>SUMPRODUCT((Diário!$E$4:$E$2662='Analítico Cp.'!$B135)*(Diário!$C$4:$C$2662&gt;=J$4)*(Diário!$C$4:$C$2662&lt;=EOMONTH(J$4,0))*(Diário!$F$4:$F$2662))
+SUMPRODUCT(('Comp.'!$D$5:$D$402=$B135)*('Comp.'!$B$5:$B$402&gt;=J$4)*('Comp.'!$B$5:$B$402&lt;=EOMONTH(J$4,0))*('Comp.'!$E$5:$E$402))</f>
        <v>0</v>
      </c>
      <c r="K135" s="11">
        <f>SUMPRODUCT((Diário!$E$4:$E$2662='Analítico Cp.'!$B135)*(Diário!$C$4:$C$2662&gt;=K$4)*(Diário!$C$4:$C$2662&lt;=EOMONTH(K$4,0))*(Diário!$F$4:$F$2662))
+SUMPRODUCT(('Comp.'!$D$5:$D$402=$B135)*('Comp.'!$B$5:$B$402&gt;=K$4)*('Comp.'!$B$5:$B$402&lt;=EOMONTH(K$4,0))*('Comp.'!$E$5:$E$402))</f>
        <v>0</v>
      </c>
      <c r="L135" s="11">
        <f>SUMPRODUCT((Diário!$E$4:$E$2662='Analítico Cp.'!$B135)*(Diário!$C$4:$C$2662&gt;=L$4)*(Diário!$C$4:$C$2662&lt;=EOMONTH(L$4,0))*(Diário!$F$4:$F$2662))
+SUMPRODUCT(('Comp.'!$D$5:$D$402=$B135)*('Comp.'!$B$5:$B$402&gt;=L$4)*('Comp.'!$B$5:$B$402&lt;=EOMONTH(L$4,0))*('Comp.'!$E$5:$E$402))</f>
        <v>0</v>
      </c>
      <c r="M135" s="11">
        <f>SUMPRODUCT((Diário!$E$4:$E$2662='Analítico Cp.'!$B135)*(Diário!$C$4:$C$2662&gt;=M$4)*(Diário!$C$4:$C$2662&lt;=EOMONTH(M$4,0))*(Diário!$F$4:$F$2662))
+SUMPRODUCT(('Comp.'!$D$5:$D$402=$B135)*('Comp.'!$B$5:$B$402&gt;=M$4)*('Comp.'!$B$5:$B$402&lt;=EOMONTH(M$4,0))*('Comp.'!$E$5:$E$402))</f>
        <v>0</v>
      </c>
      <c r="N135" s="11">
        <f>SUMPRODUCT((Diário!$E$4:$E$2662='Analítico Cp.'!$B135)*(Diário!$C$4:$C$2662&gt;=N$4)*(Diário!$C$4:$C$2662&lt;=EOMONTH(N$4,0))*(Diário!$F$4:$F$2662))
+SUMPRODUCT(('Comp.'!$D$5:$D$402=$B135)*('Comp.'!$B$5:$B$402&gt;=N$4)*('Comp.'!$B$5:$B$402&lt;=EOMONTH(N$4,0))*('Comp.'!$E$5:$E$402))</f>
        <v>0</v>
      </c>
      <c r="O135" s="12">
        <f t="shared" si="16"/>
        <v>19370.32</v>
      </c>
      <c r="P135" s="95">
        <f t="shared" si="17"/>
        <v>9.700821923592617E-4</v>
      </c>
    </row>
    <row r="136" spans="1:16" ht="23.25" customHeight="1">
      <c r="A136" s="40" t="s">
        <v>526</v>
      </c>
      <c r="B136" s="60" t="s">
        <v>473</v>
      </c>
      <c r="C136" s="11">
        <f>SUMPRODUCT((Diário!$E$4:$E$2662='Analítico Cp.'!$B136)*(Diário!$C$4:$C$2662&gt;=C$4)*(Diário!$C$4:$C$2662&lt;=EOMONTH(C$4,0))*(Diário!$F$4:$F$2662))
+SUMPRODUCT(('Comp.'!$D$5:$D$402=$B136)*('Comp.'!$B$5:$B$402&gt;=C$4)*('Comp.'!$B$5:$B$402&lt;=EOMONTH(C$4,0))*('Comp.'!$E$5:$E$402))</f>
        <v>0</v>
      </c>
      <c r="D136" s="11">
        <f>SUMPRODUCT((Diário!$E$4:$E$2662='Analítico Cp.'!$B136)*(Diário!$C$4:$C$2662&gt;=D$4)*(Diário!$C$4:$C$2662&lt;=EOMONTH(D$4,0))*(Diário!$F$4:$F$2662))
+SUMPRODUCT(('Comp.'!$D$5:$D$402=$B136)*('Comp.'!$B$5:$B$402&gt;=D$4)*('Comp.'!$B$5:$B$402&lt;=EOMONTH(D$4,0))*('Comp.'!$E$5:$E$402))</f>
        <v>0</v>
      </c>
      <c r="E136" s="11">
        <f>SUMPRODUCT((Diário!$E$4:$E$2662='Analítico Cp.'!$B136)*(Diário!$C$4:$C$2662&gt;=E$4)*(Diário!$C$4:$C$2662&lt;=EOMONTH(E$4,0))*(Diário!$F$4:$F$2662))
+SUMPRODUCT(('Comp.'!$D$5:$D$402=$B136)*('Comp.'!$B$5:$B$402&gt;=E$4)*('Comp.'!$B$5:$B$402&lt;=EOMONTH(E$4,0))*('Comp.'!$E$5:$E$402))</f>
        <v>3846.6</v>
      </c>
      <c r="F136" s="11">
        <f>SUMPRODUCT((Diário!$E$4:$E$2662='Analítico Cp.'!$B136)*(Diário!$C$4:$C$2662&gt;=F$4)*(Diário!$C$4:$C$2662&lt;=EOMONTH(F$4,0))*(Diário!$F$4:$F$2662))
+SUMPRODUCT(('Comp.'!$D$5:$D$402=$B136)*('Comp.'!$B$5:$B$402&gt;=F$4)*('Comp.'!$B$5:$B$402&lt;=EOMONTH(F$4,0))*('Comp.'!$E$5:$E$402))</f>
        <v>7258.4</v>
      </c>
      <c r="G136" s="11">
        <f>SUMPRODUCT((Diário!$E$4:$E$2662='Analítico Cp.'!$B136)*(Diário!$C$4:$C$2662&gt;=G$4)*(Diário!$C$4:$C$2662&lt;=EOMONTH(G$4,0))*(Diário!$F$4:$F$2662))
+SUMPRODUCT(('Comp.'!$D$5:$D$402=$B136)*('Comp.'!$B$5:$B$402&gt;=G$4)*('Comp.'!$B$5:$B$402&lt;=EOMONTH(G$4,0))*('Comp.'!$E$5:$E$402))</f>
        <v>9289.7999999999993</v>
      </c>
      <c r="H136" s="11">
        <f>SUMPRODUCT((Diário!$E$4:$E$2662='Analítico Cp.'!$B136)*(Diário!$C$4:$C$2662&gt;=H$4)*(Diário!$C$4:$C$2662&lt;=EOMONTH(H$4,0))*(Diário!$F$4:$F$2662))
+SUMPRODUCT(('Comp.'!$D$5:$D$402=$B136)*('Comp.'!$B$5:$B$402&gt;=H$4)*('Comp.'!$B$5:$B$402&lt;=EOMONTH(H$4,0))*('Comp.'!$E$5:$E$402))</f>
        <v>4747.18</v>
      </c>
      <c r="I136" s="11">
        <f>SUMPRODUCT((Diário!$E$4:$E$2662='Analítico Cp.'!$B136)*(Diário!$C$4:$C$2662&gt;=I$4)*(Diário!$C$4:$C$2662&lt;=EOMONTH(I$4,0))*(Diário!$F$4:$F$2662))
+SUMPRODUCT(('Comp.'!$D$5:$D$402=$B136)*('Comp.'!$B$5:$B$402&gt;=I$4)*('Comp.'!$B$5:$B$402&lt;=EOMONTH(I$4,0))*('Comp.'!$E$5:$E$402))</f>
        <v>0</v>
      </c>
      <c r="J136" s="11">
        <f>SUMPRODUCT((Diário!$E$4:$E$2662='Analítico Cp.'!$B136)*(Diário!$C$4:$C$2662&gt;=J$4)*(Diário!$C$4:$C$2662&lt;=EOMONTH(J$4,0))*(Diário!$F$4:$F$2662))
+SUMPRODUCT(('Comp.'!$D$5:$D$402=$B136)*('Comp.'!$B$5:$B$402&gt;=J$4)*('Comp.'!$B$5:$B$402&lt;=EOMONTH(J$4,0))*('Comp.'!$E$5:$E$402))</f>
        <v>0</v>
      </c>
      <c r="K136" s="11">
        <f>SUMPRODUCT((Diário!$E$4:$E$2662='Analítico Cp.'!$B136)*(Diário!$C$4:$C$2662&gt;=K$4)*(Diário!$C$4:$C$2662&lt;=EOMONTH(K$4,0))*(Diário!$F$4:$F$2662))
+SUMPRODUCT(('Comp.'!$D$5:$D$402=$B136)*('Comp.'!$B$5:$B$402&gt;=K$4)*('Comp.'!$B$5:$B$402&lt;=EOMONTH(K$4,0))*('Comp.'!$E$5:$E$402))</f>
        <v>0</v>
      </c>
      <c r="L136" s="11">
        <f>SUMPRODUCT((Diário!$E$4:$E$2662='Analítico Cp.'!$B136)*(Diário!$C$4:$C$2662&gt;=L$4)*(Diário!$C$4:$C$2662&lt;=EOMONTH(L$4,0))*(Diário!$F$4:$F$2662))
+SUMPRODUCT(('Comp.'!$D$5:$D$402=$B136)*('Comp.'!$B$5:$B$402&gt;=L$4)*('Comp.'!$B$5:$B$402&lt;=EOMONTH(L$4,0))*('Comp.'!$E$5:$E$402))</f>
        <v>0</v>
      </c>
      <c r="M136" s="11">
        <f>SUMPRODUCT((Diário!$E$4:$E$2662='Analítico Cp.'!$B136)*(Diário!$C$4:$C$2662&gt;=M$4)*(Diário!$C$4:$C$2662&lt;=EOMONTH(M$4,0))*(Diário!$F$4:$F$2662))
+SUMPRODUCT(('Comp.'!$D$5:$D$402=$B136)*('Comp.'!$B$5:$B$402&gt;=M$4)*('Comp.'!$B$5:$B$402&lt;=EOMONTH(M$4,0))*('Comp.'!$E$5:$E$402))</f>
        <v>0</v>
      </c>
      <c r="N136" s="11">
        <f>SUMPRODUCT((Diário!$E$4:$E$2662='Analítico Cp.'!$B136)*(Diário!$C$4:$C$2662&gt;=N$4)*(Diário!$C$4:$C$2662&lt;=EOMONTH(N$4,0))*(Diário!$F$4:$F$2662))
+SUMPRODUCT(('Comp.'!$D$5:$D$402=$B136)*('Comp.'!$B$5:$B$402&gt;=N$4)*('Comp.'!$B$5:$B$402&lt;=EOMONTH(N$4,0))*('Comp.'!$E$5:$E$402))</f>
        <v>0</v>
      </c>
      <c r="O136" s="12">
        <f t="shared" si="16"/>
        <v>25141.98</v>
      </c>
      <c r="P136" s="95">
        <f t="shared" si="17"/>
        <v>1.2591318614588044E-3</v>
      </c>
    </row>
    <row r="137" spans="1:16" ht="23.25" customHeight="1">
      <c r="A137" s="40" t="s">
        <v>527</v>
      </c>
      <c r="B137" s="60" t="s">
        <v>474</v>
      </c>
      <c r="C137" s="11">
        <f>SUMPRODUCT((Diário!$E$4:$E$2662='Analítico Cp.'!$B137)*(Diário!$C$4:$C$2662&gt;=C$4)*(Diário!$C$4:$C$2662&lt;=EOMONTH(C$4,0))*(Diário!$F$4:$F$2662))
+SUMPRODUCT(('Comp.'!$D$5:$D$402=$B137)*('Comp.'!$B$5:$B$402&gt;=C$4)*('Comp.'!$B$5:$B$402&lt;=EOMONTH(C$4,0))*('Comp.'!$E$5:$E$402))</f>
        <v>0</v>
      </c>
      <c r="D137" s="11">
        <f>SUMPRODUCT((Diário!$E$4:$E$2662='Analítico Cp.'!$B137)*(Diário!$C$4:$C$2662&gt;=D$4)*(Diário!$C$4:$C$2662&lt;=EOMONTH(D$4,0))*(Diário!$F$4:$F$2662))
+SUMPRODUCT(('Comp.'!$D$5:$D$402=$B137)*('Comp.'!$B$5:$B$402&gt;=D$4)*('Comp.'!$B$5:$B$402&lt;=EOMONTH(D$4,0))*('Comp.'!$E$5:$E$402))</f>
        <v>69334.040000000008</v>
      </c>
      <c r="E137" s="11">
        <f>SUMPRODUCT((Diário!$E$4:$E$2662='Analítico Cp.'!$B137)*(Diário!$C$4:$C$2662&gt;=E$4)*(Diário!$C$4:$C$2662&lt;=EOMONTH(E$4,0))*(Diário!$F$4:$F$2662))
+SUMPRODUCT(('Comp.'!$D$5:$D$402=$B137)*('Comp.'!$B$5:$B$402&gt;=E$4)*('Comp.'!$B$5:$B$402&lt;=EOMONTH(E$4,0))*('Comp.'!$E$5:$E$402))</f>
        <v>0</v>
      </c>
      <c r="F137" s="11">
        <f>SUMPRODUCT((Diário!$E$4:$E$2662='Analítico Cp.'!$B137)*(Diário!$C$4:$C$2662&gt;=F$4)*(Diário!$C$4:$C$2662&lt;=EOMONTH(F$4,0))*(Diário!$F$4:$F$2662))
+SUMPRODUCT(('Comp.'!$D$5:$D$402=$B137)*('Comp.'!$B$5:$B$402&gt;=F$4)*('Comp.'!$B$5:$B$402&lt;=EOMONTH(F$4,0))*('Comp.'!$E$5:$E$402))</f>
        <v>0</v>
      </c>
      <c r="G137" s="11">
        <f>SUMPRODUCT((Diário!$E$4:$E$2662='Analítico Cp.'!$B137)*(Diário!$C$4:$C$2662&gt;=G$4)*(Diário!$C$4:$C$2662&lt;=EOMONTH(G$4,0))*(Diário!$F$4:$F$2662))
+SUMPRODUCT(('Comp.'!$D$5:$D$402=$B137)*('Comp.'!$B$5:$B$402&gt;=G$4)*('Comp.'!$B$5:$B$402&lt;=EOMONTH(G$4,0))*('Comp.'!$E$5:$E$402))</f>
        <v>0</v>
      </c>
      <c r="H137" s="11">
        <f>SUMPRODUCT((Diário!$E$4:$E$2662='Analítico Cp.'!$B137)*(Diário!$C$4:$C$2662&gt;=H$4)*(Diário!$C$4:$C$2662&lt;=EOMONTH(H$4,0))*(Diário!$F$4:$F$2662))
+SUMPRODUCT(('Comp.'!$D$5:$D$402=$B137)*('Comp.'!$B$5:$B$402&gt;=H$4)*('Comp.'!$B$5:$B$402&lt;=EOMONTH(H$4,0))*('Comp.'!$E$5:$E$402))</f>
        <v>0</v>
      </c>
      <c r="I137" s="11">
        <f>SUMPRODUCT((Diário!$E$4:$E$2662='Analítico Cp.'!$B137)*(Diário!$C$4:$C$2662&gt;=I$4)*(Diário!$C$4:$C$2662&lt;=EOMONTH(I$4,0))*(Diário!$F$4:$F$2662))
+SUMPRODUCT(('Comp.'!$D$5:$D$402=$B137)*('Comp.'!$B$5:$B$402&gt;=I$4)*('Comp.'!$B$5:$B$402&lt;=EOMONTH(I$4,0))*('Comp.'!$E$5:$E$402))</f>
        <v>0</v>
      </c>
      <c r="J137" s="11">
        <f>SUMPRODUCT((Diário!$E$4:$E$2662='Analítico Cp.'!$B137)*(Diário!$C$4:$C$2662&gt;=J$4)*(Diário!$C$4:$C$2662&lt;=EOMONTH(J$4,0))*(Diário!$F$4:$F$2662))
+SUMPRODUCT(('Comp.'!$D$5:$D$402=$B137)*('Comp.'!$B$5:$B$402&gt;=J$4)*('Comp.'!$B$5:$B$402&lt;=EOMONTH(J$4,0))*('Comp.'!$E$5:$E$402))</f>
        <v>0</v>
      </c>
      <c r="K137" s="11">
        <f>SUMPRODUCT((Diário!$E$4:$E$2662='Analítico Cp.'!$B137)*(Diário!$C$4:$C$2662&gt;=K$4)*(Diário!$C$4:$C$2662&lt;=EOMONTH(K$4,0))*(Diário!$F$4:$F$2662))
+SUMPRODUCT(('Comp.'!$D$5:$D$402=$B137)*('Comp.'!$B$5:$B$402&gt;=K$4)*('Comp.'!$B$5:$B$402&lt;=EOMONTH(K$4,0))*('Comp.'!$E$5:$E$402))</f>
        <v>0</v>
      </c>
      <c r="L137" s="11">
        <f>SUMPRODUCT((Diário!$E$4:$E$2662='Analítico Cp.'!$B137)*(Diário!$C$4:$C$2662&gt;=L$4)*(Diário!$C$4:$C$2662&lt;=EOMONTH(L$4,0))*(Diário!$F$4:$F$2662))
+SUMPRODUCT(('Comp.'!$D$5:$D$402=$B137)*('Comp.'!$B$5:$B$402&gt;=L$4)*('Comp.'!$B$5:$B$402&lt;=EOMONTH(L$4,0))*('Comp.'!$E$5:$E$402))</f>
        <v>0</v>
      </c>
      <c r="M137" s="11">
        <f>SUMPRODUCT((Diário!$E$4:$E$2662='Analítico Cp.'!$B137)*(Diário!$C$4:$C$2662&gt;=M$4)*(Diário!$C$4:$C$2662&lt;=EOMONTH(M$4,0))*(Diário!$F$4:$F$2662))
+SUMPRODUCT(('Comp.'!$D$5:$D$402=$B137)*('Comp.'!$B$5:$B$402&gt;=M$4)*('Comp.'!$B$5:$B$402&lt;=EOMONTH(M$4,0))*('Comp.'!$E$5:$E$402))</f>
        <v>0</v>
      </c>
      <c r="N137" s="11">
        <f>SUMPRODUCT((Diário!$E$4:$E$2662='Analítico Cp.'!$B137)*(Diário!$C$4:$C$2662&gt;=N$4)*(Diário!$C$4:$C$2662&lt;=EOMONTH(N$4,0))*(Diário!$F$4:$F$2662))
+SUMPRODUCT(('Comp.'!$D$5:$D$402=$B137)*('Comp.'!$B$5:$B$402&gt;=N$4)*('Comp.'!$B$5:$B$402&lt;=EOMONTH(N$4,0))*('Comp.'!$E$5:$E$402))</f>
        <v>0</v>
      </c>
      <c r="O137" s="12">
        <f t="shared" si="16"/>
        <v>69334.040000000008</v>
      </c>
      <c r="P137" s="95">
        <f t="shared" si="17"/>
        <v>3.4723080221867658E-3</v>
      </c>
    </row>
    <row r="138" spans="1:16" ht="23.25" customHeight="1">
      <c r="A138" s="40" t="s">
        <v>528</v>
      </c>
      <c r="B138" s="60" t="s">
        <v>475</v>
      </c>
      <c r="C138" s="11">
        <f>SUMPRODUCT((Diário!$E$4:$E$2662='Analítico Cp.'!$B138)*(Diário!$C$4:$C$2662&gt;=C$4)*(Diário!$C$4:$C$2662&lt;=EOMONTH(C$4,0))*(Diário!$F$4:$F$2662))
+SUMPRODUCT(('Comp.'!$D$5:$D$402=$B138)*('Comp.'!$B$5:$B$402&gt;=C$4)*('Comp.'!$B$5:$B$402&lt;=EOMONTH(C$4,0))*('Comp.'!$E$5:$E$402))</f>
        <v>0</v>
      </c>
      <c r="D138" s="11">
        <f>SUMPRODUCT((Diário!$E$4:$E$2662='Analítico Cp.'!$B138)*(Diário!$C$4:$C$2662&gt;=D$4)*(Diário!$C$4:$C$2662&lt;=EOMONTH(D$4,0))*(Diário!$F$4:$F$2662))
+SUMPRODUCT(('Comp.'!$D$5:$D$402=$B138)*('Comp.'!$B$5:$B$402&gt;=D$4)*('Comp.'!$B$5:$B$402&lt;=EOMONTH(D$4,0))*('Comp.'!$E$5:$E$402))</f>
        <v>0</v>
      </c>
      <c r="E138" s="11">
        <f>SUMPRODUCT((Diário!$E$4:$E$2662='Analítico Cp.'!$B138)*(Diário!$C$4:$C$2662&gt;=E$4)*(Diário!$C$4:$C$2662&lt;=EOMONTH(E$4,0))*(Diário!$F$4:$F$2662))
+SUMPRODUCT(('Comp.'!$D$5:$D$402=$B138)*('Comp.'!$B$5:$B$402&gt;=E$4)*('Comp.'!$B$5:$B$402&lt;=EOMONTH(E$4,0))*('Comp.'!$E$5:$E$402))</f>
        <v>0</v>
      </c>
      <c r="F138" s="11">
        <f>SUMPRODUCT((Diário!$E$4:$E$2662='Analítico Cp.'!$B138)*(Diário!$C$4:$C$2662&gt;=F$4)*(Diário!$C$4:$C$2662&lt;=EOMONTH(F$4,0))*(Diário!$F$4:$F$2662))
+SUMPRODUCT(('Comp.'!$D$5:$D$402=$B138)*('Comp.'!$B$5:$B$402&gt;=F$4)*('Comp.'!$B$5:$B$402&lt;=EOMONTH(F$4,0))*('Comp.'!$E$5:$E$402))</f>
        <v>0</v>
      </c>
      <c r="G138" s="11">
        <f>SUMPRODUCT((Diário!$E$4:$E$2662='Analítico Cp.'!$B138)*(Diário!$C$4:$C$2662&gt;=G$4)*(Diário!$C$4:$C$2662&lt;=EOMONTH(G$4,0))*(Diário!$F$4:$F$2662))
+SUMPRODUCT(('Comp.'!$D$5:$D$402=$B138)*('Comp.'!$B$5:$B$402&gt;=G$4)*('Comp.'!$B$5:$B$402&lt;=EOMONTH(G$4,0))*('Comp.'!$E$5:$E$402))</f>
        <v>0</v>
      </c>
      <c r="H138" s="11">
        <f>SUMPRODUCT((Diário!$E$4:$E$2662='Analítico Cp.'!$B138)*(Diário!$C$4:$C$2662&gt;=H$4)*(Diário!$C$4:$C$2662&lt;=EOMONTH(H$4,0))*(Diário!$F$4:$F$2662))
+SUMPRODUCT(('Comp.'!$D$5:$D$402=$B138)*('Comp.'!$B$5:$B$402&gt;=H$4)*('Comp.'!$B$5:$B$402&lt;=EOMONTH(H$4,0))*('Comp.'!$E$5:$E$402))</f>
        <v>0</v>
      </c>
      <c r="I138" s="11">
        <f>SUMPRODUCT((Diário!$E$4:$E$2662='Analítico Cp.'!$B138)*(Diário!$C$4:$C$2662&gt;=I$4)*(Diário!$C$4:$C$2662&lt;=EOMONTH(I$4,0))*(Diário!$F$4:$F$2662))
+SUMPRODUCT(('Comp.'!$D$5:$D$402=$B138)*('Comp.'!$B$5:$B$402&gt;=I$4)*('Comp.'!$B$5:$B$402&lt;=EOMONTH(I$4,0))*('Comp.'!$E$5:$E$402))</f>
        <v>0</v>
      </c>
      <c r="J138" s="11">
        <f>SUMPRODUCT((Diário!$E$4:$E$2662='Analítico Cp.'!$B138)*(Diário!$C$4:$C$2662&gt;=J$4)*(Diário!$C$4:$C$2662&lt;=EOMONTH(J$4,0))*(Diário!$F$4:$F$2662))
+SUMPRODUCT(('Comp.'!$D$5:$D$402=$B138)*('Comp.'!$B$5:$B$402&gt;=J$4)*('Comp.'!$B$5:$B$402&lt;=EOMONTH(J$4,0))*('Comp.'!$E$5:$E$402))</f>
        <v>0</v>
      </c>
      <c r="K138" s="11">
        <f>SUMPRODUCT((Diário!$E$4:$E$2662='Analítico Cp.'!$B138)*(Diário!$C$4:$C$2662&gt;=K$4)*(Diário!$C$4:$C$2662&lt;=EOMONTH(K$4,0))*(Diário!$F$4:$F$2662))
+SUMPRODUCT(('Comp.'!$D$5:$D$402=$B138)*('Comp.'!$B$5:$B$402&gt;=K$4)*('Comp.'!$B$5:$B$402&lt;=EOMONTH(K$4,0))*('Comp.'!$E$5:$E$402))</f>
        <v>0</v>
      </c>
      <c r="L138" s="11">
        <f>SUMPRODUCT((Diário!$E$4:$E$2662='Analítico Cp.'!$B138)*(Diário!$C$4:$C$2662&gt;=L$4)*(Diário!$C$4:$C$2662&lt;=EOMONTH(L$4,0))*(Diário!$F$4:$F$2662))
+SUMPRODUCT(('Comp.'!$D$5:$D$402=$B138)*('Comp.'!$B$5:$B$402&gt;=L$4)*('Comp.'!$B$5:$B$402&lt;=EOMONTH(L$4,0))*('Comp.'!$E$5:$E$402))</f>
        <v>0</v>
      </c>
      <c r="M138" s="11">
        <f>SUMPRODUCT((Diário!$E$4:$E$2662='Analítico Cp.'!$B138)*(Diário!$C$4:$C$2662&gt;=M$4)*(Diário!$C$4:$C$2662&lt;=EOMONTH(M$4,0))*(Diário!$F$4:$F$2662))
+SUMPRODUCT(('Comp.'!$D$5:$D$402=$B138)*('Comp.'!$B$5:$B$402&gt;=M$4)*('Comp.'!$B$5:$B$402&lt;=EOMONTH(M$4,0))*('Comp.'!$E$5:$E$402))</f>
        <v>0</v>
      </c>
      <c r="N138" s="11">
        <f>SUMPRODUCT((Diário!$E$4:$E$2662='Analítico Cp.'!$B138)*(Diário!$C$4:$C$2662&gt;=N$4)*(Diário!$C$4:$C$2662&lt;=EOMONTH(N$4,0))*(Diário!$F$4:$F$2662))
+SUMPRODUCT(('Comp.'!$D$5:$D$402=$B138)*('Comp.'!$B$5:$B$402&gt;=N$4)*('Comp.'!$B$5:$B$402&lt;=EOMONTH(N$4,0))*('Comp.'!$E$5:$E$402))</f>
        <v>0</v>
      </c>
      <c r="O138" s="12">
        <f t="shared" si="16"/>
        <v>0</v>
      </c>
      <c r="P138" s="95">
        <f t="shared" si="17"/>
        <v>0</v>
      </c>
    </row>
    <row r="139" spans="1:16" ht="23.25" customHeight="1">
      <c r="A139" s="40" t="s">
        <v>529</v>
      </c>
      <c r="B139" s="60" t="s">
        <v>476</v>
      </c>
      <c r="C139" s="11">
        <f>SUMPRODUCT((Diário!$E$4:$E$2662='Analítico Cp.'!$B139)*(Diário!$C$4:$C$2662&gt;=C$4)*(Diário!$C$4:$C$2662&lt;=EOMONTH(C$4,0))*(Diário!$F$4:$F$2662))
+SUMPRODUCT(('Comp.'!$D$5:$D$402=$B139)*('Comp.'!$B$5:$B$402&gt;=C$4)*('Comp.'!$B$5:$B$402&lt;=EOMONTH(C$4,0))*('Comp.'!$E$5:$E$402))</f>
        <v>0</v>
      </c>
      <c r="D139" s="11">
        <f>SUMPRODUCT((Diário!$E$4:$E$2662='Analítico Cp.'!$B139)*(Diário!$C$4:$C$2662&gt;=D$4)*(Diário!$C$4:$C$2662&lt;=EOMONTH(D$4,0))*(Diário!$F$4:$F$2662))
+SUMPRODUCT(('Comp.'!$D$5:$D$402=$B139)*('Comp.'!$B$5:$B$402&gt;=D$4)*('Comp.'!$B$5:$B$402&lt;=EOMONTH(D$4,0))*('Comp.'!$E$5:$E$402))</f>
        <v>0</v>
      </c>
      <c r="E139" s="11">
        <f>SUMPRODUCT((Diário!$E$4:$E$2662='Analítico Cp.'!$B139)*(Diário!$C$4:$C$2662&gt;=E$4)*(Diário!$C$4:$C$2662&lt;=EOMONTH(E$4,0))*(Diário!$F$4:$F$2662))
+SUMPRODUCT(('Comp.'!$D$5:$D$402=$B139)*('Comp.'!$B$5:$B$402&gt;=E$4)*('Comp.'!$B$5:$B$402&lt;=EOMONTH(E$4,0))*('Comp.'!$E$5:$E$402))</f>
        <v>0</v>
      </c>
      <c r="F139" s="11">
        <f>SUMPRODUCT((Diário!$E$4:$E$2662='Analítico Cp.'!$B139)*(Diário!$C$4:$C$2662&gt;=F$4)*(Diário!$C$4:$C$2662&lt;=EOMONTH(F$4,0))*(Diário!$F$4:$F$2662))
+SUMPRODUCT(('Comp.'!$D$5:$D$402=$B139)*('Comp.'!$B$5:$B$402&gt;=F$4)*('Comp.'!$B$5:$B$402&lt;=EOMONTH(F$4,0))*('Comp.'!$E$5:$E$402))</f>
        <v>0</v>
      </c>
      <c r="G139" s="11">
        <f>SUMPRODUCT((Diário!$E$4:$E$2662='Analítico Cp.'!$B139)*(Diário!$C$4:$C$2662&gt;=G$4)*(Diário!$C$4:$C$2662&lt;=EOMONTH(G$4,0))*(Diário!$F$4:$F$2662))
+SUMPRODUCT(('Comp.'!$D$5:$D$402=$B139)*('Comp.'!$B$5:$B$402&gt;=G$4)*('Comp.'!$B$5:$B$402&lt;=EOMONTH(G$4,0))*('Comp.'!$E$5:$E$402))</f>
        <v>0</v>
      </c>
      <c r="H139" s="11">
        <f>SUMPRODUCT((Diário!$E$4:$E$2662='Analítico Cp.'!$B139)*(Diário!$C$4:$C$2662&gt;=H$4)*(Diário!$C$4:$C$2662&lt;=EOMONTH(H$4,0))*(Diário!$F$4:$F$2662))
+SUMPRODUCT(('Comp.'!$D$5:$D$402=$B139)*('Comp.'!$B$5:$B$402&gt;=H$4)*('Comp.'!$B$5:$B$402&lt;=EOMONTH(H$4,0))*('Comp.'!$E$5:$E$402))</f>
        <v>0</v>
      </c>
      <c r="I139" s="11">
        <f>SUMPRODUCT((Diário!$E$4:$E$2662='Analítico Cp.'!$B139)*(Diário!$C$4:$C$2662&gt;=I$4)*(Diário!$C$4:$C$2662&lt;=EOMONTH(I$4,0))*(Diário!$F$4:$F$2662))
+SUMPRODUCT(('Comp.'!$D$5:$D$402=$B139)*('Comp.'!$B$5:$B$402&gt;=I$4)*('Comp.'!$B$5:$B$402&lt;=EOMONTH(I$4,0))*('Comp.'!$E$5:$E$402))</f>
        <v>0</v>
      </c>
      <c r="J139" s="11">
        <f>SUMPRODUCT((Diário!$E$4:$E$2662='Analítico Cp.'!$B139)*(Diário!$C$4:$C$2662&gt;=J$4)*(Diário!$C$4:$C$2662&lt;=EOMONTH(J$4,0))*(Diário!$F$4:$F$2662))
+SUMPRODUCT(('Comp.'!$D$5:$D$402=$B139)*('Comp.'!$B$5:$B$402&gt;=J$4)*('Comp.'!$B$5:$B$402&lt;=EOMONTH(J$4,0))*('Comp.'!$E$5:$E$402))</f>
        <v>0</v>
      </c>
      <c r="K139" s="11">
        <f>SUMPRODUCT((Diário!$E$4:$E$2662='Analítico Cp.'!$B139)*(Diário!$C$4:$C$2662&gt;=K$4)*(Diário!$C$4:$C$2662&lt;=EOMONTH(K$4,0))*(Diário!$F$4:$F$2662))
+SUMPRODUCT(('Comp.'!$D$5:$D$402=$B139)*('Comp.'!$B$5:$B$402&gt;=K$4)*('Comp.'!$B$5:$B$402&lt;=EOMONTH(K$4,0))*('Comp.'!$E$5:$E$402))</f>
        <v>0</v>
      </c>
      <c r="L139" s="11">
        <f>SUMPRODUCT((Diário!$E$4:$E$2662='Analítico Cp.'!$B139)*(Diário!$C$4:$C$2662&gt;=L$4)*(Diário!$C$4:$C$2662&lt;=EOMONTH(L$4,0))*(Diário!$F$4:$F$2662))
+SUMPRODUCT(('Comp.'!$D$5:$D$402=$B139)*('Comp.'!$B$5:$B$402&gt;=L$4)*('Comp.'!$B$5:$B$402&lt;=EOMONTH(L$4,0))*('Comp.'!$E$5:$E$402))</f>
        <v>0</v>
      </c>
      <c r="M139" s="11">
        <f>SUMPRODUCT((Diário!$E$4:$E$2662='Analítico Cp.'!$B139)*(Diário!$C$4:$C$2662&gt;=M$4)*(Diário!$C$4:$C$2662&lt;=EOMONTH(M$4,0))*(Diário!$F$4:$F$2662))
+SUMPRODUCT(('Comp.'!$D$5:$D$402=$B139)*('Comp.'!$B$5:$B$402&gt;=M$4)*('Comp.'!$B$5:$B$402&lt;=EOMONTH(M$4,0))*('Comp.'!$E$5:$E$402))</f>
        <v>0</v>
      </c>
      <c r="N139" s="11">
        <f>SUMPRODUCT((Diário!$E$4:$E$2662='Analítico Cp.'!$B139)*(Diário!$C$4:$C$2662&gt;=N$4)*(Diário!$C$4:$C$2662&lt;=EOMONTH(N$4,0))*(Diário!$F$4:$F$2662))
+SUMPRODUCT(('Comp.'!$D$5:$D$402=$B139)*('Comp.'!$B$5:$B$402&gt;=N$4)*('Comp.'!$B$5:$B$402&lt;=EOMONTH(N$4,0))*('Comp.'!$E$5:$E$402))</f>
        <v>0</v>
      </c>
      <c r="O139" s="12">
        <f t="shared" si="16"/>
        <v>0</v>
      </c>
      <c r="P139" s="95">
        <f t="shared" si="17"/>
        <v>0</v>
      </c>
    </row>
    <row r="140" spans="1:16" ht="23.25" customHeight="1">
      <c r="A140" s="40" t="s">
        <v>530</v>
      </c>
      <c r="B140" s="60" t="s">
        <v>477</v>
      </c>
      <c r="C140" s="11">
        <f>SUMPRODUCT((Diário!$E$4:$E$2662='Analítico Cp.'!$B140)*(Diário!$C$4:$C$2662&gt;=C$4)*(Diário!$C$4:$C$2662&lt;=EOMONTH(C$4,0))*(Diário!$F$4:$F$2662))
+SUMPRODUCT(('Comp.'!$D$5:$D$402=$B140)*('Comp.'!$B$5:$B$402&gt;=C$4)*('Comp.'!$B$5:$B$402&lt;=EOMONTH(C$4,0))*('Comp.'!$E$5:$E$402))</f>
        <v>100652.96999999999</v>
      </c>
      <c r="D140" s="11">
        <f>SUMPRODUCT((Diário!$E$4:$E$2662='Analítico Cp.'!$B140)*(Diário!$C$4:$C$2662&gt;=D$4)*(Diário!$C$4:$C$2662&lt;=EOMONTH(D$4,0))*(Diário!$F$4:$F$2662))
+SUMPRODUCT(('Comp.'!$D$5:$D$402=$B140)*('Comp.'!$B$5:$B$402&gt;=D$4)*('Comp.'!$B$5:$B$402&lt;=EOMONTH(D$4,0))*('Comp.'!$E$5:$E$402))</f>
        <v>176224.50999999995</v>
      </c>
      <c r="E140" s="11">
        <f>SUMPRODUCT((Diário!$E$4:$E$2662='Analítico Cp.'!$B140)*(Diário!$C$4:$C$2662&gt;=E$4)*(Diário!$C$4:$C$2662&lt;=EOMONTH(E$4,0))*(Diário!$F$4:$F$2662))
+SUMPRODUCT(('Comp.'!$D$5:$D$402=$B140)*('Comp.'!$B$5:$B$402&gt;=E$4)*('Comp.'!$B$5:$B$402&lt;=EOMONTH(E$4,0))*('Comp.'!$E$5:$E$402))</f>
        <v>20933.170000000002</v>
      </c>
      <c r="F140" s="11">
        <f>SUMPRODUCT((Diário!$E$4:$E$2662='Analítico Cp.'!$B140)*(Diário!$C$4:$C$2662&gt;=F$4)*(Diário!$C$4:$C$2662&lt;=EOMONTH(F$4,0))*(Diário!$F$4:$F$2662))
+SUMPRODUCT(('Comp.'!$D$5:$D$402=$B140)*('Comp.'!$B$5:$B$402&gt;=F$4)*('Comp.'!$B$5:$B$402&lt;=EOMONTH(F$4,0))*('Comp.'!$E$5:$E$402))</f>
        <v>186928.57</v>
      </c>
      <c r="G140" s="11">
        <f>SUMPRODUCT((Diário!$E$4:$E$2662='Analítico Cp.'!$B140)*(Diário!$C$4:$C$2662&gt;=G$4)*(Diário!$C$4:$C$2662&lt;=EOMONTH(G$4,0))*(Diário!$F$4:$F$2662))
+SUMPRODUCT(('Comp.'!$D$5:$D$402=$B140)*('Comp.'!$B$5:$B$402&gt;=G$4)*('Comp.'!$B$5:$B$402&lt;=EOMONTH(G$4,0))*('Comp.'!$E$5:$E$402))</f>
        <v>37239.909999999996</v>
      </c>
      <c r="H140" s="11">
        <f>SUMPRODUCT((Diário!$E$4:$E$2662='Analítico Cp.'!$B140)*(Diário!$C$4:$C$2662&gt;=H$4)*(Diário!$C$4:$C$2662&lt;=EOMONTH(H$4,0))*(Diário!$F$4:$F$2662))
+SUMPRODUCT(('Comp.'!$D$5:$D$402=$B140)*('Comp.'!$B$5:$B$402&gt;=H$4)*('Comp.'!$B$5:$B$402&lt;=EOMONTH(H$4,0))*('Comp.'!$E$5:$E$402))</f>
        <v>196331.84</v>
      </c>
      <c r="I140" s="11">
        <f>SUMPRODUCT((Diário!$E$4:$E$2662='Analítico Cp.'!$B140)*(Diário!$C$4:$C$2662&gt;=I$4)*(Diário!$C$4:$C$2662&lt;=EOMONTH(I$4,0))*(Diário!$F$4:$F$2662))
+SUMPRODUCT(('Comp.'!$D$5:$D$402=$B140)*('Comp.'!$B$5:$B$402&gt;=I$4)*('Comp.'!$B$5:$B$402&lt;=EOMONTH(I$4,0))*('Comp.'!$E$5:$E$402))</f>
        <v>0</v>
      </c>
      <c r="J140" s="11">
        <f>SUMPRODUCT((Diário!$E$4:$E$2662='Analítico Cp.'!$B140)*(Diário!$C$4:$C$2662&gt;=J$4)*(Diário!$C$4:$C$2662&lt;=EOMONTH(J$4,0))*(Diário!$F$4:$F$2662))
+SUMPRODUCT(('Comp.'!$D$5:$D$402=$B140)*('Comp.'!$B$5:$B$402&gt;=J$4)*('Comp.'!$B$5:$B$402&lt;=EOMONTH(J$4,0))*('Comp.'!$E$5:$E$402))</f>
        <v>0</v>
      </c>
      <c r="K140" s="11">
        <f>SUMPRODUCT((Diário!$E$4:$E$2662='Analítico Cp.'!$B140)*(Diário!$C$4:$C$2662&gt;=K$4)*(Diário!$C$4:$C$2662&lt;=EOMONTH(K$4,0))*(Diário!$F$4:$F$2662))
+SUMPRODUCT(('Comp.'!$D$5:$D$402=$B140)*('Comp.'!$B$5:$B$402&gt;=K$4)*('Comp.'!$B$5:$B$402&lt;=EOMONTH(K$4,0))*('Comp.'!$E$5:$E$402))</f>
        <v>0</v>
      </c>
      <c r="L140" s="11">
        <f>SUMPRODUCT((Diário!$E$4:$E$2662='Analítico Cp.'!$B140)*(Diário!$C$4:$C$2662&gt;=L$4)*(Diário!$C$4:$C$2662&lt;=EOMONTH(L$4,0))*(Diário!$F$4:$F$2662))
+SUMPRODUCT(('Comp.'!$D$5:$D$402=$B140)*('Comp.'!$B$5:$B$402&gt;=L$4)*('Comp.'!$B$5:$B$402&lt;=EOMONTH(L$4,0))*('Comp.'!$E$5:$E$402))</f>
        <v>0</v>
      </c>
      <c r="M140" s="11">
        <f>SUMPRODUCT((Diário!$E$4:$E$2662='Analítico Cp.'!$B140)*(Diário!$C$4:$C$2662&gt;=M$4)*(Diário!$C$4:$C$2662&lt;=EOMONTH(M$4,0))*(Diário!$F$4:$F$2662))
+SUMPRODUCT(('Comp.'!$D$5:$D$402=$B140)*('Comp.'!$B$5:$B$402&gt;=M$4)*('Comp.'!$B$5:$B$402&lt;=EOMONTH(M$4,0))*('Comp.'!$E$5:$E$402))</f>
        <v>0</v>
      </c>
      <c r="N140" s="11">
        <f>SUMPRODUCT((Diário!$E$4:$E$2662='Analítico Cp.'!$B140)*(Diário!$C$4:$C$2662&gt;=N$4)*(Diário!$C$4:$C$2662&lt;=EOMONTH(N$4,0))*(Diário!$F$4:$F$2662))
+SUMPRODUCT(('Comp.'!$D$5:$D$402=$B140)*('Comp.'!$B$5:$B$402&gt;=N$4)*('Comp.'!$B$5:$B$402&lt;=EOMONTH(N$4,0))*('Comp.'!$E$5:$E$402))</f>
        <v>0</v>
      </c>
      <c r="O140" s="12">
        <f t="shared" si="16"/>
        <v>718310.96999999986</v>
      </c>
      <c r="P140" s="95">
        <f t="shared" si="17"/>
        <v>3.5973627723925455E-2</v>
      </c>
    </row>
    <row r="141" spans="1:16" ht="23.25" customHeight="1">
      <c r="A141" s="40" t="s">
        <v>531</v>
      </c>
      <c r="B141" s="60" t="s">
        <v>478</v>
      </c>
      <c r="C141" s="11">
        <f>SUMPRODUCT((Diário!$E$4:$E$2662='Analítico Cp.'!$B141)*(Diário!$C$4:$C$2662&gt;=C$4)*(Diário!$C$4:$C$2662&lt;=EOMONTH(C$4,0))*(Diário!$F$4:$F$2662))
+SUMPRODUCT(('Comp.'!$D$5:$D$402=$B141)*('Comp.'!$B$5:$B$402&gt;=C$4)*('Comp.'!$B$5:$B$402&lt;=EOMONTH(C$4,0))*('Comp.'!$E$5:$E$402))</f>
        <v>0</v>
      </c>
      <c r="D141" s="11">
        <f>SUMPRODUCT((Diário!$E$4:$E$2662='Analítico Cp.'!$B141)*(Diário!$C$4:$C$2662&gt;=D$4)*(Diário!$C$4:$C$2662&lt;=EOMONTH(D$4,0))*(Diário!$F$4:$F$2662))
+SUMPRODUCT(('Comp.'!$D$5:$D$402=$B141)*('Comp.'!$B$5:$B$402&gt;=D$4)*('Comp.'!$B$5:$B$402&lt;=EOMONTH(D$4,0))*('Comp.'!$E$5:$E$402))</f>
        <v>0</v>
      </c>
      <c r="E141" s="11">
        <f>SUMPRODUCT((Diário!$E$4:$E$2662='Analítico Cp.'!$B141)*(Diário!$C$4:$C$2662&gt;=E$4)*(Diário!$C$4:$C$2662&lt;=EOMONTH(E$4,0))*(Diário!$F$4:$F$2662))
+SUMPRODUCT(('Comp.'!$D$5:$D$402=$B141)*('Comp.'!$B$5:$B$402&gt;=E$4)*('Comp.'!$B$5:$B$402&lt;=EOMONTH(E$4,0))*('Comp.'!$E$5:$E$402))</f>
        <v>0</v>
      </c>
      <c r="F141" s="11">
        <f>SUMPRODUCT((Diário!$E$4:$E$2662='Analítico Cp.'!$B141)*(Diário!$C$4:$C$2662&gt;=F$4)*(Diário!$C$4:$C$2662&lt;=EOMONTH(F$4,0))*(Diário!$F$4:$F$2662))
+SUMPRODUCT(('Comp.'!$D$5:$D$402=$B141)*('Comp.'!$B$5:$B$402&gt;=F$4)*('Comp.'!$B$5:$B$402&lt;=EOMONTH(F$4,0))*('Comp.'!$E$5:$E$402))</f>
        <v>0</v>
      </c>
      <c r="G141" s="11">
        <f>SUMPRODUCT((Diário!$E$4:$E$2662='Analítico Cp.'!$B141)*(Diário!$C$4:$C$2662&gt;=G$4)*(Diário!$C$4:$C$2662&lt;=EOMONTH(G$4,0))*(Diário!$F$4:$F$2662))
+SUMPRODUCT(('Comp.'!$D$5:$D$402=$B141)*('Comp.'!$B$5:$B$402&gt;=G$4)*('Comp.'!$B$5:$B$402&lt;=EOMONTH(G$4,0))*('Comp.'!$E$5:$E$402))</f>
        <v>19056.7101</v>
      </c>
      <c r="H141" s="11">
        <f>SUMPRODUCT((Diário!$E$4:$E$2662='Analítico Cp.'!$B141)*(Diário!$C$4:$C$2662&gt;=H$4)*(Diário!$C$4:$C$2662&lt;=EOMONTH(H$4,0))*(Diário!$F$4:$F$2662))
+SUMPRODUCT(('Comp.'!$D$5:$D$402=$B141)*('Comp.'!$B$5:$B$402&gt;=H$4)*('Comp.'!$B$5:$B$402&lt;=EOMONTH(H$4,0))*('Comp.'!$E$5:$E$402))</f>
        <v>6593.41</v>
      </c>
      <c r="I141" s="11">
        <f>SUMPRODUCT((Diário!$E$4:$E$2662='Analítico Cp.'!$B141)*(Diário!$C$4:$C$2662&gt;=I$4)*(Diário!$C$4:$C$2662&lt;=EOMONTH(I$4,0))*(Diário!$F$4:$F$2662))
+SUMPRODUCT(('Comp.'!$D$5:$D$402=$B141)*('Comp.'!$B$5:$B$402&gt;=I$4)*('Comp.'!$B$5:$B$402&lt;=EOMONTH(I$4,0))*('Comp.'!$E$5:$E$402))</f>
        <v>0</v>
      </c>
      <c r="J141" s="11">
        <f>SUMPRODUCT((Diário!$E$4:$E$2662='Analítico Cp.'!$B141)*(Diário!$C$4:$C$2662&gt;=J$4)*(Diário!$C$4:$C$2662&lt;=EOMONTH(J$4,0))*(Diário!$F$4:$F$2662))
+SUMPRODUCT(('Comp.'!$D$5:$D$402=$B141)*('Comp.'!$B$5:$B$402&gt;=J$4)*('Comp.'!$B$5:$B$402&lt;=EOMONTH(J$4,0))*('Comp.'!$E$5:$E$402))</f>
        <v>0</v>
      </c>
      <c r="K141" s="11">
        <f>SUMPRODUCT((Diário!$E$4:$E$2662='Analítico Cp.'!$B141)*(Diário!$C$4:$C$2662&gt;=K$4)*(Diário!$C$4:$C$2662&lt;=EOMONTH(K$4,0))*(Diário!$F$4:$F$2662))
+SUMPRODUCT(('Comp.'!$D$5:$D$402=$B141)*('Comp.'!$B$5:$B$402&gt;=K$4)*('Comp.'!$B$5:$B$402&lt;=EOMONTH(K$4,0))*('Comp.'!$E$5:$E$402))</f>
        <v>0</v>
      </c>
      <c r="L141" s="11">
        <f>SUMPRODUCT((Diário!$E$4:$E$2662='Analítico Cp.'!$B141)*(Diário!$C$4:$C$2662&gt;=L$4)*(Diário!$C$4:$C$2662&lt;=EOMONTH(L$4,0))*(Diário!$F$4:$F$2662))
+SUMPRODUCT(('Comp.'!$D$5:$D$402=$B141)*('Comp.'!$B$5:$B$402&gt;=L$4)*('Comp.'!$B$5:$B$402&lt;=EOMONTH(L$4,0))*('Comp.'!$E$5:$E$402))</f>
        <v>0</v>
      </c>
      <c r="M141" s="11">
        <f>SUMPRODUCT((Diário!$E$4:$E$2662='Analítico Cp.'!$B141)*(Diário!$C$4:$C$2662&gt;=M$4)*(Diário!$C$4:$C$2662&lt;=EOMONTH(M$4,0))*(Diário!$F$4:$F$2662))
+SUMPRODUCT(('Comp.'!$D$5:$D$402=$B141)*('Comp.'!$B$5:$B$402&gt;=M$4)*('Comp.'!$B$5:$B$402&lt;=EOMONTH(M$4,0))*('Comp.'!$E$5:$E$402))</f>
        <v>0</v>
      </c>
      <c r="N141" s="11">
        <f>SUMPRODUCT((Diário!$E$4:$E$2662='Analítico Cp.'!$B141)*(Diário!$C$4:$C$2662&gt;=N$4)*(Diário!$C$4:$C$2662&lt;=EOMONTH(N$4,0))*(Diário!$F$4:$F$2662))
+SUMPRODUCT(('Comp.'!$D$5:$D$402=$B141)*('Comp.'!$B$5:$B$402&gt;=N$4)*('Comp.'!$B$5:$B$402&lt;=EOMONTH(N$4,0))*('Comp.'!$E$5:$E$402))</f>
        <v>0</v>
      </c>
      <c r="O141" s="12">
        <f t="shared" si="16"/>
        <v>25650.1201</v>
      </c>
      <c r="P141" s="95">
        <f t="shared" si="17"/>
        <v>1.2845799522613135E-3</v>
      </c>
    </row>
    <row r="142" spans="1:16" ht="23.25" customHeight="1">
      <c r="A142" s="40" t="s">
        <v>532</v>
      </c>
      <c r="B142" s="60" t="s">
        <v>479</v>
      </c>
      <c r="C142" s="11">
        <f>SUMPRODUCT((Diário!$E$4:$E$2662='Analítico Cp.'!$B142)*(Diário!$C$4:$C$2662&gt;=C$4)*(Diário!$C$4:$C$2662&lt;=EOMONTH(C$4,0))*(Diário!$F$4:$F$2662))
+SUMPRODUCT(('Comp.'!$D$5:$D$402=$B142)*('Comp.'!$B$5:$B$402&gt;=C$4)*('Comp.'!$B$5:$B$402&lt;=EOMONTH(C$4,0))*('Comp.'!$E$5:$E$402))</f>
        <v>2882.88</v>
      </c>
      <c r="D142" s="11">
        <f>SUMPRODUCT((Diário!$E$4:$E$2662='Analítico Cp.'!$B142)*(Diário!$C$4:$C$2662&gt;=D$4)*(Diário!$C$4:$C$2662&lt;=EOMONTH(D$4,0))*(Diário!$F$4:$F$2662))
+SUMPRODUCT(('Comp.'!$D$5:$D$402=$B142)*('Comp.'!$B$5:$B$402&gt;=D$4)*('Comp.'!$B$5:$B$402&lt;=EOMONTH(D$4,0))*('Comp.'!$E$5:$E$402))</f>
        <v>0</v>
      </c>
      <c r="E142" s="11">
        <f>SUMPRODUCT((Diário!$E$4:$E$2662='Analítico Cp.'!$B142)*(Diário!$C$4:$C$2662&gt;=E$4)*(Diário!$C$4:$C$2662&lt;=EOMONTH(E$4,0))*(Diário!$F$4:$F$2662))
+SUMPRODUCT(('Comp.'!$D$5:$D$402=$B142)*('Comp.'!$B$5:$B$402&gt;=E$4)*('Comp.'!$B$5:$B$402&lt;=EOMONTH(E$4,0))*('Comp.'!$E$5:$E$402))</f>
        <v>0</v>
      </c>
      <c r="F142" s="11">
        <f>SUMPRODUCT((Diário!$E$4:$E$2662='Analítico Cp.'!$B142)*(Diário!$C$4:$C$2662&gt;=F$4)*(Diário!$C$4:$C$2662&lt;=EOMONTH(F$4,0))*(Diário!$F$4:$F$2662))
+SUMPRODUCT(('Comp.'!$D$5:$D$402=$B142)*('Comp.'!$B$5:$B$402&gt;=F$4)*('Comp.'!$B$5:$B$402&lt;=EOMONTH(F$4,0))*('Comp.'!$E$5:$E$402))</f>
        <v>0</v>
      </c>
      <c r="G142" s="11">
        <f>SUMPRODUCT((Diário!$E$4:$E$2662='Analítico Cp.'!$B142)*(Diário!$C$4:$C$2662&gt;=G$4)*(Diário!$C$4:$C$2662&lt;=EOMONTH(G$4,0))*(Diário!$F$4:$F$2662))
+SUMPRODUCT(('Comp.'!$D$5:$D$402=$B142)*('Comp.'!$B$5:$B$402&gt;=G$4)*('Comp.'!$B$5:$B$402&lt;=EOMONTH(G$4,0))*('Comp.'!$E$5:$E$402))</f>
        <v>0</v>
      </c>
      <c r="H142" s="11">
        <f>SUMPRODUCT((Diário!$E$4:$E$2662='Analítico Cp.'!$B142)*(Diário!$C$4:$C$2662&gt;=H$4)*(Diário!$C$4:$C$2662&lt;=EOMONTH(H$4,0))*(Diário!$F$4:$F$2662))
+SUMPRODUCT(('Comp.'!$D$5:$D$402=$B142)*('Comp.'!$B$5:$B$402&gt;=H$4)*('Comp.'!$B$5:$B$402&lt;=EOMONTH(H$4,0))*('Comp.'!$E$5:$E$402))</f>
        <v>0</v>
      </c>
      <c r="I142" s="11">
        <f>SUMPRODUCT((Diário!$E$4:$E$2662='Analítico Cp.'!$B142)*(Diário!$C$4:$C$2662&gt;=I$4)*(Diário!$C$4:$C$2662&lt;=EOMONTH(I$4,0))*(Diário!$F$4:$F$2662))
+SUMPRODUCT(('Comp.'!$D$5:$D$402=$B142)*('Comp.'!$B$5:$B$402&gt;=I$4)*('Comp.'!$B$5:$B$402&lt;=EOMONTH(I$4,0))*('Comp.'!$E$5:$E$402))</f>
        <v>0</v>
      </c>
      <c r="J142" s="11">
        <f>SUMPRODUCT((Diário!$E$4:$E$2662='Analítico Cp.'!$B142)*(Diário!$C$4:$C$2662&gt;=J$4)*(Diário!$C$4:$C$2662&lt;=EOMONTH(J$4,0))*(Diário!$F$4:$F$2662))
+SUMPRODUCT(('Comp.'!$D$5:$D$402=$B142)*('Comp.'!$B$5:$B$402&gt;=J$4)*('Comp.'!$B$5:$B$402&lt;=EOMONTH(J$4,0))*('Comp.'!$E$5:$E$402))</f>
        <v>0</v>
      </c>
      <c r="K142" s="11">
        <f>SUMPRODUCT((Diário!$E$4:$E$2662='Analítico Cp.'!$B142)*(Diário!$C$4:$C$2662&gt;=K$4)*(Diário!$C$4:$C$2662&lt;=EOMONTH(K$4,0))*(Diário!$F$4:$F$2662))
+SUMPRODUCT(('Comp.'!$D$5:$D$402=$B142)*('Comp.'!$B$5:$B$402&gt;=K$4)*('Comp.'!$B$5:$B$402&lt;=EOMONTH(K$4,0))*('Comp.'!$E$5:$E$402))</f>
        <v>0</v>
      </c>
      <c r="L142" s="11">
        <f>SUMPRODUCT((Diário!$E$4:$E$2662='Analítico Cp.'!$B142)*(Diário!$C$4:$C$2662&gt;=L$4)*(Diário!$C$4:$C$2662&lt;=EOMONTH(L$4,0))*(Diário!$F$4:$F$2662))
+SUMPRODUCT(('Comp.'!$D$5:$D$402=$B142)*('Comp.'!$B$5:$B$402&gt;=L$4)*('Comp.'!$B$5:$B$402&lt;=EOMONTH(L$4,0))*('Comp.'!$E$5:$E$402))</f>
        <v>0</v>
      </c>
      <c r="M142" s="11">
        <f>SUMPRODUCT((Diário!$E$4:$E$2662='Analítico Cp.'!$B142)*(Diário!$C$4:$C$2662&gt;=M$4)*(Diário!$C$4:$C$2662&lt;=EOMONTH(M$4,0))*(Diário!$F$4:$F$2662))
+SUMPRODUCT(('Comp.'!$D$5:$D$402=$B142)*('Comp.'!$B$5:$B$402&gt;=M$4)*('Comp.'!$B$5:$B$402&lt;=EOMONTH(M$4,0))*('Comp.'!$E$5:$E$402))</f>
        <v>0</v>
      </c>
      <c r="N142" s="11">
        <f>SUMPRODUCT((Diário!$E$4:$E$2662='Analítico Cp.'!$B142)*(Diário!$C$4:$C$2662&gt;=N$4)*(Diário!$C$4:$C$2662&lt;=EOMONTH(N$4,0))*(Diário!$F$4:$F$2662))
+SUMPRODUCT(('Comp.'!$D$5:$D$402=$B142)*('Comp.'!$B$5:$B$402&gt;=N$4)*('Comp.'!$B$5:$B$402&lt;=EOMONTH(N$4,0))*('Comp.'!$E$5:$E$402))</f>
        <v>0</v>
      </c>
      <c r="O142" s="12">
        <f t="shared" si="16"/>
        <v>2882.88</v>
      </c>
      <c r="P142" s="95">
        <f t="shared" si="17"/>
        <v>1.4437709602673927E-4</v>
      </c>
    </row>
    <row r="143" spans="1:16" ht="23.25" customHeight="1">
      <c r="A143" s="40" t="s">
        <v>533</v>
      </c>
      <c r="B143" s="60" t="s">
        <v>480</v>
      </c>
      <c r="C143" s="11">
        <f>SUMPRODUCT((Diário!$E$4:$E$2662='Analítico Cp.'!$B143)*(Diário!$C$4:$C$2662&gt;=C$4)*(Diário!$C$4:$C$2662&lt;=EOMONTH(C$4,0))*(Diário!$F$4:$F$2662))
+SUMPRODUCT(('Comp.'!$D$5:$D$402=$B143)*('Comp.'!$B$5:$B$402&gt;=C$4)*('Comp.'!$B$5:$B$402&lt;=EOMONTH(C$4,0))*('Comp.'!$E$5:$E$402))</f>
        <v>1405.8200000000002</v>
      </c>
      <c r="D143" s="11">
        <f>SUMPRODUCT((Diário!$E$4:$E$2662='Analítico Cp.'!$B143)*(Diário!$C$4:$C$2662&gt;=D$4)*(Diário!$C$4:$C$2662&lt;=EOMONTH(D$4,0))*(Diário!$F$4:$F$2662))
+SUMPRODUCT(('Comp.'!$D$5:$D$402=$B143)*('Comp.'!$B$5:$B$402&gt;=D$4)*('Comp.'!$B$5:$B$402&lt;=EOMONTH(D$4,0))*('Comp.'!$E$5:$E$402))</f>
        <v>0</v>
      </c>
      <c r="E143" s="11">
        <f>SUMPRODUCT((Diário!$E$4:$E$2662='Analítico Cp.'!$B143)*(Diário!$C$4:$C$2662&gt;=E$4)*(Diário!$C$4:$C$2662&lt;=EOMONTH(E$4,0))*(Diário!$F$4:$F$2662))
+SUMPRODUCT(('Comp.'!$D$5:$D$402=$B143)*('Comp.'!$B$5:$B$402&gt;=E$4)*('Comp.'!$B$5:$B$402&lt;=EOMONTH(E$4,0))*('Comp.'!$E$5:$E$402))</f>
        <v>2523.54</v>
      </c>
      <c r="F143" s="11">
        <f>SUMPRODUCT((Diário!$E$4:$E$2662='Analítico Cp.'!$B143)*(Diário!$C$4:$C$2662&gt;=F$4)*(Diário!$C$4:$C$2662&lt;=EOMONTH(F$4,0))*(Diário!$F$4:$F$2662))
+SUMPRODUCT(('Comp.'!$D$5:$D$402=$B143)*('Comp.'!$B$5:$B$402&gt;=F$4)*('Comp.'!$B$5:$B$402&lt;=EOMONTH(F$4,0))*('Comp.'!$E$5:$E$402))</f>
        <v>15425.740000000002</v>
      </c>
      <c r="G143" s="11">
        <f>SUMPRODUCT((Diário!$E$4:$E$2662='Analítico Cp.'!$B143)*(Diário!$C$4:$C$2662&gt;=G$4)*(Diário!$C$4:$C$2662&lt;=EOMONTH(G$4,0))*(Diário!$F$4:$F$2662))
+SUMPRODUCT(('Comp.'!$D$5:$D$402=$B143)*('Comp.'!$B$5:$B$402&gt;=G$4)*('Comp.'!$B$5:$B$402&lt;=EOMONTH(G$4,0))*('Comp.'!$E$5:$E$402))</f>
        <v>146.86000000000001</v>
      </c>
      <c r="H143" s="11">
        <f>SUMPRODUCT((Diário!$E$4:$E$2662='Analítico Cp.'!$B143)*(Diário!$C$4:$C$2662&gt;=H$4)*(Diário!$C$4:$C$2662&lt;=EOMONTH(H$4,0))*(Diário!$F$4:$F$2662))
+SUMPRODUCT(('Comp.'!$D$5:$D$402=$B143)*('Comp.'!$B$5:$B$402&gt;=H$4)*('Comp.'!$B$5:$B$402&lt;=EOMONTH(H$4,0))*('Comp.'!$E$5:$E$402))</f>
        <v>6760.25</v>
      </c>
      <c r="I143" s="11">
        <f>SUMPRODUCT((Diário!$E$4:$E$2662='Analítico Cp.'!$B143)*(Diário!$C$4:$C$2662&gt;=I$4)*(Diário!$C$4:$C$2662&lt;=EOMONTH(I$4,0))*(Diário!$F$4:$F$2662))
+SUMPRODUCT(('Comp.'!$D$5:$D$402=$B143)*('Comp.'!$B$5:$B$402&gt;=I$4)*('Comp.'!$B$5:$B$402&lt;=EOMONTH(I$4,0))*('Comp.'!$E$5:$E$402))</f>
        <v>0</v>
      </c>
      <c r="J143" s="11">
        <f>SUMPRODUCT((Diário!$E$4:$E$2662='Analítico Cp.'!$B143)*(Diário!$C$4:$C$2662&gt;=J$4)*(Diário!$C$4:$C$2662&lt;=EOMONTH(J$4,0))*(Diário!$F$4:$F$2662))
+SUMPRODUCT(('Comp.'!$D$5:$D$402=$B143)*('Comp.'!$B$5:$B$402&gt;=J$4)*('Comp.'!$B$5:$B$402&lt;=EOMONTH(J$4,0))*('Comp.'!$E$5:$E$402))</f>
        <v>0</v>
      </c>
      <c r="K143" s="11">
        <f>SUMPRODUCT((Diário!$E$4:$E$2662='Analítico Cp.'!$B143)*(Diário!$C$4:$C$2662&gt;=K$4)*(Diário!$C$4:$C$2662&lt;=EOMONTH(K$4,0))*(Diário!$F$4:$F$2662))
+SUMPRODUCT(('Comp.'!$D$5:$D$402=$B143)*('Comp.'!$B$5:$B$402&gt;=K$4)*('Comp.'!$B$5:$B$402&lt;=EOMONTH(K$4,0))*('Comp.'!$E$5:$E$402))</f>
        <v>0</v>
      </c>
      <c r="L143" s="11">
        <f>SUMPRODUCT((Diário!$E$4:$E$2662='Analítico Cp.'!$B143)*(Diário!$C$4:$C$2662&gt;=L$4)*(Diário!$C$4:$C$2662&lt;=EOMONTH(L$4,0))*(Diário!$F$4:$F$2662))
+SUMPRODUCT(('Comp.'!$D$5:$D$402=$B143)*('Comp.'!$B$5:$B$402&gt;=L$4)*('Comp.'!$B$5:$B$402&lt;=EOMONTH(L$4,0))*('Comp.'!$E$5:$E$402))</f>
        <v>0</v>
      </c>
      <c r="M143" s="11">
        <f>SUMPRODUCT((Diário!$E$4:$E$2662='Analítico Cp.'!$B143)*(Diário!$C$4:$C$2662&gt;=M$4)*(Diário!$C$4:$C$2662&lt;=EOMONTH(M$4,0))*(Diário!$F$4:$F$2662))
+SUMPRODUCT(('Comp.'!$D$5:$D$402=$B143)*('Comp.'!$B$5:$B$402&gt;=M$4)*('Comp.'!$B$5:$B$402&lt;=EOMONTH(M$4,0))*('Comp.'!$E$5:$E$402))</f>
        <v>0</v>
      </c>
      <c r="N143" s="11">
        <f>SUMPRODUCT((Diário!$E$4:$E$2662='Analítico Cp.'!$B143)*(Diário!$C$4:$C$2662&gt;=N$4)*(Diário!$C$4:$C$2662&lt;=EOMONTH(N$4,0))*(Diário!$F$4:$F$2662))
+SUMPRODUCT(('Comp.'!$D$5:$D$402=$B143)*('Comp.'!$B$5:$B$402&gt;=N$4)*('Comp.'!$B$5:$B$402&lt;=EOMONTH(N$4,0))*('Comp.'!$E$5:$E$402))</f>
        <v>0</v>
      </c>
      <c r="O143" s="12">
        <f t="shared" si="16"/>
        <v>26262.210000000003</v>
      </c>
      <c r="P143" s="95">
        <f t="shared" si="17"/>
        <v>1.3152339379524616E-3</v>
      </c>
    </row>
    <row r="144" spans="1:16" ht="23.25" customHeight="1">
      <c r="A144" s="40" t="s">
        <v>534</v>
      </c>
      <c r="B144" s="60" t="s">
        <v>481</v>
      </c>
      <c r="C144" s="11">
        <f>SUMPRODUCT((Diário!$E$4:$E$2662='Analítico Cp.'!$B144)*(Diário!$C$4:$C$2662&gt;=C$4)*(Diário!$C$4:$C$2662&lt;=EOMONTH(C$4,0))*(Diário!$F$4:$F$2662))
+SUMPRODUCT(('Comp.'!$D$5:$D$402=$B144)*('Comp.'!$B$5:$B$402&gt;=C$4)*('Comp.'!$B$5:$B$402&lt;=EOMONTH(C$4,0))*('Comp.'!$E$5:$E$402))</f>
        <v>7500</v>
      </c>
      <c r="D144" s="11">
        <f>SUMPRODUCT((Diário!$E$4:$E$2662='Analítico Cp.'!$B144)*(Diário!$C$4:$C$2662&gt;=D$4)*(Diário!$C$4:$C$2662&lt;=EOMONTH(D$4,0))*(Diário!$F$4:$F$2662))
+SUMPRODUCT(('Comp.'!$D$5:$D$402=$B144)*('Comp.'!$B$5:$B$402&gt;=D$4)*('Comp.'!$B$5:$B$402&lt;=EOMONTH(D$4,0))*('Comp.'!$E$5:$E$402))</f>
        <v>0</v>
      </c>
      <c r="E144" s="11">
        <f>SUMPRODUCT((Diário!$E$4:$E$2662='Analítico Cp.'!$B144)*(Diário!$C$4:$C$2662&gt;=E$4)*(Diário!$C$4:$C$2662&lt;=EOMONTH(E$4,0))*(Diário!$F$4:$F$2662))
+SUMPRODUCT(('Comp.'!$D$5:$D$402=$B144)*('Comp.'!$B$5:$B$402&gt;=E$4)*('Comp.'!$B$5:$B$402&lt;=EOMONTH(E$4,0))*('Comp.'!$E$5:$E$402))</f>
        <v>0</v>
      </c>
      <c r="F144" s="11">
        <f>SUMPRODUCT((Diário!$E$4:$E$2662='Analítico Cp.'!$B144)*(Diário!$C$4:$C$2662&gt;=F$4)*(Diário!$C$4:$C$2662&lt;=EOMONTH(F$4,0))*(Diário!$F$4:$F$2662))
+SUMPRODUCT(('Comp.'!$D$5:$D$402=$B144)*('Comp.'!$B$5:$B$402&gt;=F$4)*('Comp.'!$B$5:$B$402&lt;=EOMONTH(F$4,0))*('Comp.'!$E$5:$E$402))</f>
        <v>0</v>
      </c>
      <c r="G144" s="11">
        <f>SUMPRODUCT((Diário!$E$4:$E$2662='Analítico Cp.'!$B144)*(Diário!$C$4:$C$2662&gt;=G$4)*(Diário!$C$4:$C$2662&lt;=EOMONTH(G$4,0))*(Diário!$F$4:$F$2662))
+SUMPRODUCT(('Comp.'!$D$5:$D$402=$B144)*('Comp.'!$B$5:$B$402&gt;=G$4)*('Comp.'!$B$5:$B$402&lt;=EOMONTH(G$4,0))*('Comp.'!$E$5:$E$402))</f>
        <v>3900.65</v>
      </c>
      <c r="H144" s="11">
        <f>SUMPRODUCT((Diário!$E$4:$E$2662='Analítico Cp.'!$B144)*(Diário!$C$4:$C$2662&gt;=H$4)*(Diário!$C$4:$C$2662&lt;=EOMONTH(H$4,0))*(Diário!$F$4:$F$2662))
+SUMPRODUCT(('Comp.'!$D$5:$D$402=$B144)*('Comp.'!$B$5:$B$402&gt;=H$4)*('Comp.'!$B$5:$B$402&lt;=EOMONTH(H$4,0))*('Comp.'!$E$5:$E$402))</f>
        <v>4439</v>
      </c>
      <c r="I144" s="11">
        <f>SUMPRODUCT((Diário!$E$4:$E$2662='Analítico Cp.'!$B144)*(Diário!$C$4:$C$2662&gt;=I$4)*(Diário!$C$4:$C$2662&lt;=EOMONTH(I$4,0))*(Diário!$F$4:$F$2662))
+SUMPRODUCT(('Comp.'!$D$5:$D$402=$B144)*('Comp.'!$B$5:$B$402&gt;=I$4)*('Comp.'!$B$5:$B$402&lt;=EOMONTH(I$4,0))*('Comp.'!$E$5:$E$402))</f>
        <v>0</v>
      </c>
      <c r="J144" s="11">
        <f>SUMPRODUCT((Diário!$E$4:$E$2662='Analítico Cp.'!$B144)*(Diário!$C$4:$C$2662&gt;=J$4)*(Diário!$C$4:$C$2662&lt;=EOMONTH(J$4,0))*(Diário!$F$4:$F$2662))
+SUMPRODUCT(('Comp.'!$D$5:$D$402=$B144)*('Comp.'!$B$5:$B$402&gt;=J$4)*('Comp.'!$B$5:$B$402&lt;=EOMONTH(J$4,0))*('Comp.'!$E$5:$E$402))</f>
        <v>0</v>
      </c>
      <c r="K144" s="11">
        <f>SUMPRODUCT((Diário!$E$4:$E$2662='Analítico Cp.'!$B144)*(Diário!$C$4:$C$2662&gt;=K$4)*(Diário!$C$4:$C$2662&lt;=EOMONTH(K$4,0))*(Diário!$F$4:$F$2662))
+SUMPRODUCT(('Comp.'!$D$5:$D$402=$B144)*('Comp.'!$B$5:$B$402&gt;=K$4)*('Comp.'!$B$5:$B$402&lt;=EOMONTH(K$4,0))*('Comp.'!$E$5:$E$402))</f>
        <v>0</v>
      </c>
      <c r="L144" s="11">
        <f>SUMPRODUCT((Diário!$E$4:$E$2662='Analítico Cp.'!$B144)*(Diário!$C$4:$C$2662&gt;=L$4)*(Diário!$C$4:$C$2662&lt;=EOMONTH(L$4,0))*(Diário!$F$4:$F$2662))
+SUMPRODUCT(('Comp.'!$D$5:$D$402=$B144)*('Comp.'!$B$5:$B$402&gt;=L$4)*('Comp.'!$B$5:$B$402&lt;=EOMONTH(L$4,0))*('Comp.'!$E$5:$E$402))</f>
        <v>0</v>
      </c>
      <c r="M144" s="11">
        <f>SUMPRODUCT((Diário!$E$4:$E$2662='Analítico Cp.'!$B144)*(Diário!$C$4:$C$2662&gt;=M$4)*(Diário!$C$4:$C$2662&lt;=EOMONTH(M$4,0))*(Diário!$F$4:$F$2662))
+SUMPRODUCT(('Comp.'!$D$5:$D$402=$B144)*('Comp.'!$B$5:$B$402&gt;=M$4)*('Comp.'!$B$5:$B$402&lt;=EOMONTH(M$4,0))*('Comp.'!$E$5:$E$402))</f>
        <v>0</v>
      </c>
      <c r="N144" s="11">
        <f>SUMPRODUCT((Diário!$E$4:$E$2662='Analítico Cp.'!$B144)*(Diário!$C$4:$C$2662&gt;=N$4)*(Diário!$C$4:$C$2662&lt;=EOMONTH(N$4,0))*(Diário!$F$4:$F$2662))
+SUMPRODUCT(('Comp.'!$D$5:$D$402=$B144)*('Comp.'!$B$5:$B$402&gt;=N$4)*('Comp.'!$B$5:$B$402&lt;=EOMONTH(N$4,0))*('Comp.'!$E$5:$E$402))</f>
        <v>0</v>
      </c>
      <c r="O144" s="12">
        <f t="shared" si="16"/>
        <v>15839.65</v>
      </c>
      <c r="P144" s="95">
        <f t="shared" si="17"/>
        <v>7.9326321910032349E-4</v>
      </c>
    </row>
    <row r="145" spans="1:16" ht="23.25" customHeight="1">
      <c r="A145" s="40" t="s">
        <v>535</v>
      </c>
      <c r="B145" s="60" t="s">
        <v>482</v>
      </c>
      <c r="C145" s="11">
        <f>SUMPRODUCT((Diário!$E$4:$E$2662='Analítico Cp.'!$B145)*(Diário!$C$4:$C$2662&gt;=C$4)*(Diário!$C$4:$C$2662&lt;=EOMONTH(C$4,0))*(Diário!$F$4:$F$2662))
+SUMPRODUCT(('Comp.'!$D$5:$D$402=$B145)*('Comp.'!$B$5:$B$402&gt;=C$4)*('Comp.'!$B$5:$B$402&lt;=EOMONTH(C$4,0))*('Comp.'!$E$5:$E$402))</f>
        <v>0</v>
      </c>
      <c r="D145" s="11">
        <f>SUMPRODUCT((Diário!$E$4:$E$2662='Analítico Cp.'!$B145)*(Diário!$C$4:$C$2662&gt;=D$4)*(Diário!$C$4:$C$2662&lt;=EOMONTH(D$4,0))*(Diário!$F$4:$F$2662))
+SUMPRODUCT(('Comp.'!$D$5:$D$402=$B145)*('Comp.'!$B$5:$B$402&gt;=D$4)*('Comp.'!$B$5:$B$402&lt;=EOMONTH(D$4,0))*('Comp.'!$E$5:$E$402))</f>
        <v>0</v>
      </c>
      <c r="E145" s="11">
        <f>SUMPRODUCT((Diário!$E$4:$E$2662='Analítico Cp.'!$B145)*(Diário!$C$4:$C$2662&gt;=E$4)*(Diário!$C$4:$C$2662&lt;=EOMONTH(E$4,0))*(Diário!$F$4:$F$2662))
+SUMPRODUCT(('Comp.'!$D$5:$D$402=$B145)*('Comp.'!$B$5:$B$402&gt;=E$4)*('Comp.'!$B$5:$B$402&lt;=EOMONTH(E$4,0))*('Comp.'!$E$5:$E$402))</f>
        <v>0</v>
      </c>
      <c r="F145" s="11">
        <f>SUMPRODUCT((Diário!$E$4:$E$2662='Analítico Cp.'!$B145)*(Diário!$C$4:$C$2662&gt;=F$4)*(Diário!$C$4:$C$2662&lt;=EOMONTH(F$4,0))*(Diário!$F$4:$F$2662))
+SUMPRODUCT(('Comp.'!$D$5:$D$402=$B145)*('Comp.'!$B$5:$B$402&gt;=F$4)*('Comp.'!$B$5:$B$402&lt;=EOMONTH(F$4,0))*('Comp.'!$E$5:$E$402))</f>
        <v>0</v>
      </c>
      <c r="G145" s="11">
        <f>SUMPRODUCT((Diário!$E$4:$E$2662='Analítico Cp.'!$B145)*(Diário!$C$4:$C$2662&gt;=G$4)*(Diário!$C$4:$C$2662&lt;=EOMONTH(G$4,0))*(Diário!$F$4:$F$2662))
+SUMPRODUCT(('Comp.'!$D$5:$D$402=$B145)*('Comp.'!$B$5:$B$402&gt;=G$4)*('Comp.'!$B$5:$B$402&lt;=EOMONTH(G$4,0))*('Comp.'!$E$5:$E$402))</f>
        <v>51800</v>
      </c>
      <c r="H145" s="11">
        <f>SUMPRODUCT((Diário!$E$4:$E$2662='Analítico Cp.'!$B145)*(Diário!$C$4:$C$2662&gt;=H$4)*(Diário!$C$4:$C$2662&lt;=EOMONTH(H$4,0))*(Diário!$F$4:$F$2662))
+SUMPRODUCT(('Comp.'!$D$5:$D$402=$B145)*('Comp.'!$B$5:$B$402&gt;=H$4)*('Comp.'!$B$5:$B$402&lt;=EOMONTH(H$4,0))*('Comp.'!$E$5:$E$402))</f>
        <v>101786.78</v>
      </c>
      <c r="I145" s="11">
        <f>SUMPRODUCT((Diário!$E$4:$E$2662='Analítico Cp.'!$B145)*(Diário!$C$4:$C$2662&gt;=I$4)*(Diário!$C$4:$C$2662&lt;=EOMONTH(I$4,0))*(Diário!$F$4:$F$2662))
+SUMPRODUCT(('Comp.'!$D$5:$D$402=$B145)*('Comp.'!$B$5:$B$402&gt;=I$4)*('Comp.'!$B$5:$B$402&lt;=EOMONTH(I$4,0))*('Comp.'!$E$5:$E$402))</f>
        <v>0</v>
      </c>
      <c r="J145" s="11">
        <f>SUMPRODUCT((Diário!$E$4:$E$2662='Analítico Cp.'!$B145)*(Diário!$C$4:$C$2662&gt;=J$4)*(Diário!$C$4:$C$2662&lt;=EOMONTH(J$4,0))*(Diário!$F$4:$F$2662))
+SUMPRODUCT(('Comp.'!$D$5:$D$402=$B145)*('Comp.'!$B$5:$B$402&gt;=J$4)*('Comp.'!$B$5:$B$402&lt;=EOMONTH(J$4,0))*('Comp.'!$E$5:$E$402))</f>
        <v>0</v>
      </c>
      <c r="K145" s="11">
        <f>SUMPRODUCT((Diário!$E$4:$E$2662='Analítico Cp.'!$B145)*(Diário!$C$4:$C$2662&gt;=K$4)*(Diário!$C$4:$C$2662&lt;=EOMONTH(K$4,0))*(Diário!$F$4:$F$2662))
+SUMPRODUCT(('Comp.'!$D$5:$D$402=$B145)*('Comp.'!$B$5:$B$402&gt;=K$4)*('Comp.'!$B$5:$B$402&lt;=EOMONTH(K$4,0))*('Comp.'!$E$5:$E$402))</f>
        <v>0</v>
      </c>
      <c r="L145" s="11">
        <f>SUMPRODUCT((Diário!$E$4:$E$2662='Analítico Cp.'!$B145)*(Diário!$C$4:$C$2662&gt;=L$4)*(Diário!$C$4:$C$2662&lt;=EOMONTH(L$4,0))*(Diário!$F$4:$F$2662))
+SUMPRODUCT(('Comp.'!$D$5:$D$402=$B145)*('Comp.'!$B$5:$B$402&gt;=L$4)*('Comp.'!$B$5:$B$402&lt;=EOMONTH(L$4,0))*('Comp.'!$E$5:$E$402))</f>
        <v>0</v>
      </c>
      <c r="M145" s="11">
        <f>SUMPRODUCT((Diário!$E$4:$E$2662='Analítico Cp.'!$B145)*(Diário!$C$4:$C$2662&gt;=M$4)*(Diário!$C$4:$C$2662&lt;=EOMONTH(M$4,0))*(Diário!$F$4:$F$2662))
+SUMPRODUCT(('Comp.'!$D$5:$D$402=$B145)*('Comp.'!$B$5:$B$402&gt;=M$4)*('Comp.'!$B$5:$B$402&lt;=EOMONTH(M$4,0))*('Comp.'!$E$5:$E$402))</f>
        <v>0</v>
      </c>
      <c r="N145" s="11">
        <f>SUMPRODUCT((Diário!$E$4:$E$2662='Analítico Cp.'!$B145)*(Diário!$C$4:$C$2662&gt;=N$4)*(Diário!$C$4:$C$2662&lt;=EOMONTH(N$4,0))*(Diário!$F$4:$F$2662))
+SUMPRODUCT(('Comp.'!$D$5:$D$402=$B145)*('Comp.'!$B$5:$B$402&gt;=N$4)*('Comp.'!$B$5:$B$402&lt;=EOMONTH(N$4,0))*('Comp.'!$E$5:$E$402))</f>
        <v>0</v>
      </c>
      <c r="O145" s="12">
        <f t="shared" si="16"/>
        <v>153586.78</v>
      </c>
      <c r="P145" s="95">
        <f t="shared" si="17"/>
        <v>7.6917572998174326E-3</v>
      </c>
    </row>
    <row r="146" spans="1:16" ht="23.25" customHeight="1">
      <c r="A146" s="40" t="s">
        <v>536</v>
      </c>
      <c r="B146" s="60" t="s">
        <v>483</v>
      </c>
      <c r="C146" s="11">
        <f>SUMPRODUCT((Diário!$E$4:$E$2662='Analítico Cp.'!$B146)*(Diário!$C$4:$C$2662&gt;=C$4)*(Diário!$C$4:$C$2662&lt;=EOMONTH(C$4,0))*(Diário!$F$4:$F$2662))
+SUMPRODUCT(('Comp.'!$D$5:$D$402=$B146)*('Comp.'!$B$5:$B$402&gt;=C$4)*('Comp.'!$B$5:$B$402&lt;=EOMONTH(C$4,0))*('Comp.'!$E$5:$E$402))</f>
        <v>0</v>
      </c>
      <c r="D146" s="11">
        <f>SUMPRODUCT((Diário!$E$4:$E$2662='Analítico Cp.'!$B146)*(Diário!$C$4:$C$2662&gt;=D$4)*(Diário!$C$4:$C$2662&lt;=EOMONTH(D$4,0))*(Diário!$F$4:$F$2662))
+SUMPRODUCT(('Comp.'!$D$5:$D$402=$B146)*('Comp.'!$B$5:$B$402&gt;=D$4)*('Comp.'!$B$5:$B$402&lt;=EOMONTH(D$4,0))*('Comp.'!$E$5:$E$402))</f>
        <v>0</v>
      </c>
      <c r="E146" s="11">
        <f>SUMPRODUCT((Diário!$E$4:$E$2662='Analítico Cp.'!$B146)*(Diário!$C$4:$C$2662&gt;=E$4)*(Diário!$C$4:$C$2662&lt;=EOMONTH(E$4,0))*(Diário!$F$4:$F$2662))
+SUMPRODUCT(('Comp.'!$D$5:$D$402=$B146)*('Comp.'!$B$5:$B$402&gt;=E$4)*('Comp.'!$B$5:$B$402&lt;=EOMONTH(E$4,0))*('Comp.'!$E$5:$E$402))</f>
        <v>0</v>
      </c>
      <c r="F146" s="11">
        <f>SUMPRODUCT((Diário!$E$4:$E$2662='Analítico Cp.'!$B146)*(Diário!$C$4:$C$2662&gt;=F$4)*(Diário!$C$4:$C$2662&lt;=EOMONTH(F$4,0))*(Diário!$F$4:$F$2662))
+SUMPRODUCT(('Comp.'!$D$5:$D$402=$B146)*('Comp.'!$B$5:$B$402&gt;=F$4)*('Comp.'!$B$5:$B$402&lt;=EOMONTH(F$4,0))*('Comp.'!$E$5:$E$402))</f>
        <v>0</v>
      </c>
      <c r="G146" s="11">
        <f>SUMPRODUCT((Diário!$E$4:$E$2662='Analítico Cp.'!$B146)*(Diário!$C$4:$C$2662&gt;=G$4)*(Diário!$C$4:$C$2662&lt;=EOMONTH(G$4,0))*(Diário!$F$4:$F$2662))
+SUMPRODUCT(('Comp.'!$D$5:$D$402=$B146)*('Comp.'!$B$5:$B$402&gt;=G$4)*('Comp.'!$B$5:$B$402&lt;=EOMONTH(G$4,0))*('Comp.'!$E$5:$E$402))</f>
        <v>0</v>
      </c>
      <c r="H146" s="11">
        <f>SUMPRODUCT((Diário!$E$4:$E$2662='Analítico Cp.'!$B146)*(Diário!$C$4:$C$2662&gt;=H$4)*(Diário!$C$4:$C$2662&lt;=EOMONTH(H$4,0))*(Diário!$F$4:$F$2662))
+SUMPRODUCT(('Comp.'!$D$5:$D$402=$B146)*('Comp.'!$B$5:$B$402&gt;=H$4)*('Comp.'!$B$5:$B$402&lt;=EOMONTH(H$4,0))*('Comp.'!$E$5:$E$402))</f>
        <v>0</v>
      </c>
      <c r="I146" s="11">
        <f>SUMPRODUCT((Diário!$E$4:$E$2662='Analítico Cp.'!$B146)*(Diário!$C$4:$C$2662&gt;=I$4)*(Diário!$C$4:$C$2662&lt;=EOMONTH(I$4,0))*(Diário!$F$4:$F$2662))
+SUMPRODUCT(('Comp.'!$D$5:$D$402=$B146)*('Comp.'!$B$5:$B$402&gt;=I$4)*('Comp.'!$B$5:$B$402&lt;=EOMONTH(I$4,0))*('Comp.'!$E$5:$E$402))</f>
        <v>0</v>
      </c>
      <c r="J146" s="11">
        <f>SUMPRODUCT((Diário!$E$4:$E$2662='Analítico Cp.'!$B146)*(Diário!$C$4:$C$2662&gt;=J$4)*(Diário!$C$4:$C$2662&lt;=EOMONTH(J$4,0))*(Diário!$F$4:$F$2662))
+SUMPRODUCT(('Comp.'!$D$5:$D$402=$B146)*('Comp.'!$B$5:$B$402&gt;=J$4)*('Comp.'!$B$5:$B$402&lt;=EOMONTH(J$4,0))*('Comp.'!$E$5:$E$402))</f>
        <v>0</v>
      </c>
      <c r="K146" s="11">
        <f>SUMPRODUCT((Diário!$E$4:$E$2662='Analítico Cp.'!$B146)*(Diário!$C$4:$C$2662&gt;=K$4)*(Diário!$C$4:$C$2662&lt;=EOMONTH(K$4,0))*(Diário!$F$4:$F$2662))
+SUMPRODUCT(('Comp.'!$D$5:$D$402=$B146)*('Comp.'!$B$5:$B$402&gt;=K$4)*('Comp.'!$B$5:$B$402&lt;=EOMONTH(K$4,0))*('Comp.'!$E$5:$E$402))</f>
        <v>0</v>
      </c>
      <c r="L146" s="11">
        <f>SUMPRODUCT((Diário!$E$4:$E$2662='Analítico Cp.'!$B146)*(Diário!$C$4:$C$2662&gt;=L$4)*(Diário!$C$4:$C$2662&lt;=EOMONTH(L$4,0))*(Diário!$F$4:$F$2662))
+SUMPRODUCT(('Comp.'!$D$5:$D$402=$B146)*('Comp.'!$B$5:$B$402&gt;=L$4)*('Comp.'!$B$5:$B$402&lt;=EOMONTH(L$4,0))*('Comp.'!$E$5:$E$402))</f>
        <v>0</v>
      </c>
      <c r="M146" s="11">
        <f>SUMPRODUCT((Diário!$E$4:$E$2662='Analítico Cp.'!$B146)*(Diário!$C$4:$C$2662&gt;=M$4)*(Diário!$C$4:$C$2662&lt;=EOMONTH(M$4,0))*(Diário!$F$4:$F$2662))
+SUMPRODUCT(('Comp.'!$D$5:$D$402=$B146)*('Comp.'!$B$5:$B$402&gt;=M$4)*('Comp.'!$B$5:$B$402&lt;=EOMONTH(M$4,0))*('Comp.'!$E$5:$E$402))</f>
        <v>0</v>
      </c>
      <c r="N146" s="11">
        <f>SUMPRODUCT((Diário!$E$4:$E$2662='Analítico Cp.'!$B146)*(Diário!$C$4:$C$2662&gt;=N$4)*(Diário!$C$4:$C$2662&lt;=EOMONTH(N$4,0))*(Diário!$F$4:$F$2662))
+SUMPRODUCT(('Comp.'!$D$5:$D$402=$B146)*('Comp.'!$B$5:$B$402&gt;=N$4)*('Comp.'!$B$5:$B$402&lt;=EOMONTH(N$4,0))*('Comp.'!$E$5:$E$402))</f>
        <v>0</v>
      </c>
      <c r="O146" s="12">
        <f t="shared" si="16"/>
        <v>0</v>
      </c>
      <c r="P146" s="95">
        <f t="shared" si="17"/>
        <v>0</v>
      </c>
    </row>
    <row r="147" spans="1:16" ht="23.25" customHeight="1">
      <c r="A147" s="40" t="s">
        <v>537</v>
      </c>
      <c r="B147" s="60" t="s">
        <v>484</v>
      </c>
      <c r="C147" s="11">
        <f>SUMPRODUCT((Diário!$E$4:$E$2662='Analítico Cp.'!$B147)*(Diário!$C$4:$C$2662&gt;=C$4)*(Diário!$C$4:$C$2662&lt;=EOMONTH(C$4,0))*(Diário!$F$4:$F$2662))
+SUMPRODUCT(('Comp.'!$D$5:$D$402=$B147)*('Comp.'!$B$5:$B$402&gt;=C$4)*('Comp.'!$B$5:$B$402&lt;=EOMONTH(C$4,0))*('Comp.'!$E$5:$E$402))</f>
        <v>0</v>
      </c>
      <c r="D147" s="11">
        <f>SUMPRODUCT((Diário!$E$4:$E$2662='Analítico Cp.'!$B147)*(Diário!$C$4:$C$2662&gt;=D$4)*(Diário!$C$4:$C$2662&lt;=EOMONTH(D$4,0))*(Diário!$F$4:$F$2662))
+SUMPRODUCT(('Comp.'!$D$5:$D$402=$B147)*('Comp.'!$B$5:$B$402&gt;=D$4)*('Comp.'!$B$5:$B$402&lt;=EOMONTH(D$4,0))*('Comp.'!$E$5:$E$402))</f>
        <v>0</v>
      </c>
      <c r="E147" s="11">
        <f>SUMPRODUCT((Diário!$E$4:$E$2662='Analítico Cp.'!$B147)*(Diário!$C$4:$C$2662&gt;=E$4)*(Diário!$C$4:$C$2662&lt;=EOMONTH(E$4,0))*(Diário!$F$4:$F$2662))
+SUMPRODUCT(('Comp.'!$D$5:$D$402=$B147)*('Comp.'!$B$5:$B$402&gt;=E$4)*('Comp.'!$B$5:$B$402&lt;=EOMONTH(E$4,0))*('Comp.'!$E$5:$E$402))</f>
        <v>0</v>
      </c>
      <c r="F147" s="11">
        <f>SUMPRODUCT((Diário!$E$4:$E$2662='Analítico Cp.'!$B147)*(Diário!$C$4:$C$2662&gt;=F$4)*(Diário!$C$4:$C$2662&lt;=EOMONTH(F$4,0))*(Diário!$F$4:$F$2662))
+SUMPRODUCT(('Comp.'!$D$5:$D$402=$B147)*('Comp.'!$B$5:$B$402&gt;=F$4)*('Comp.'!$B$5:$B$402&lt;=EOMONTH(F$4,0))*('Comp.'!$E$5:$E$402))</f>
        <v>0</v>
      </c>
      <c r="G147" s="11">
        <f>SUMPRODUCT((Diário!$E$4:$E$2662='Analítico Cp.'!$B147)*(Diário!$C$4:$C$2662&gt;=G$4)*(Diário!$C$4:$C$2662&lt;=EOMONTH(G$4,0))*(Diário!$F$4:$F$2662))
+SUMPRODUCT(('Comp.'!$D$5:$D$402=$B147)*('Comp.'!$B$5:$B$402&gt;=G$4)*('Comp.'!$B$5:$B$402&lt;=EOMONTH(G$4,0))*('Comp.'!$E$5:$E$402))</f>
        <v>0</v>
      </c>
      <c r="H147" s="11">
        <f>SUMPRODUCT((Diário!$E$4:$E$2662='Analítico Cp.'!$B147)*(Diário!$C$4:$C$2662&gt;=H$4)*(Diário!$C$4:$C$2662&lt;=EOMONTH(H$4,0))*(Diário!$F$4:$F$2662))
+SUMPRODUCT(('Comp.'!$D$5:$D$402=$B147)*('Comp.'!$B$5:$B$402&gt;=H$4)*('Comp.'!$B$5:$B$402&lt;=EOMONTH(H$4,0))*('Comp.'!$E$5:$E$402))</f>
        <v>2800</v>
      </c>
      <c r="I147" s="11">
        <f>SUMPRODUCT((Diário!$E$4:$E$2662='Analítico Cp.'!$B147)*(Diário!$C$4:$C$2662&gt;=I$4)*(Diário!$C$4:$C$2662&lt;=EOMONTH(I$4,0))*(Diário!$F$4:$F$2662))
+SUMPRODUCT(('Comp.'!$D$5:$D$402=$B147)*('Comp.'!$B$5:$B$402&gt;=I$4)*('Comp.'!$B$5:$B$402&lt;=EOMONTH(I$4,0))*('Comp.'!$E$5:$E$402))</f>
        <v>0</v>
      </c>
      <c r="J147" s="11">
        <f>SUMPRODUCT((Diário!$E$4:$E$2662='Analítico Cp.'!$B147)*(Diário!$C$4:$C$2662&gt;=J$4)*(Diário!$C$4:$C$2662&lt;=EOMONTH(J$4,0))*(Diário!$F$4:$F$2662))
+SUMPRODUCT(('Comp.'!$D$5:$D$402=$B147)*('Comp.'!$B$5:$B$402&gt;=J$4)*('Comp.'!$B$5:$B$402&lt;=EOMONTH(J$4,0))*('Comp.'!$E$5:$E$402))</f>
        <v>0</v>
      </c>
      <c r="K147" s="11">
        <f>SUMPRODUCT((Diário!$E$4:$E$2662='Analítico Cp.'!$B147)*(Diário!$C$4:$C$2662&gt;=K$4)*(Diário!$C$4:$C$2662&lt;=EOMONTH(K$4,0))*(Diário!$F$4:$F$2662))
+SUMPRODUCT(('Comp.'!$D$5:$D$402=$B147)*('Comp.'!$B$5:$B$402&gt;=K$4)*('Comp.'!$B$5:$B$402&lt;=EOMONTH(K$4,0))*('Comp.'!$E$5:$E$402))</f>
        <v>0</v>
      </c>
      <c r="L147" s="11">
        <f>SUMPRODUCT((Diário!$E$4:$E$2662='Analítico Cp.'!$B147)*(Diário!$C$4:$C$2662&gt;=L$4)*(Diário!$C$4:$C$2662&lt;=EOMONTH(L$4,0))*(Diário!$F$4:$F$2662))
+SUMPRODUCT(('Comp.'!$D$5:$D$402=$B147)*('Comp.'!$B$5:$B$402&gt;=L$4)*('Comp.'!$B$5:$B$402&lt;=EOMONTH(L$4,0))*('Comp.'!$E$5:$E$402))</f>
        <v>0</v>
      </c>
      <c r="M147" s="11">
        <f>SUMPRODUCT((Diário!$E$4:$E$2662='Analítico Cp.'!$B147)*(Diário!$C$4:$C$2662&gt;=M$4)*(Diário!$C$4:$C$2662&lt;=EOMONTH(M$4,0))*(Diário!$F$4:$F$2662))
+SUMPRODUCT(('Comp.'!$D$5:$D$402=$B147)*('Comp.'!$B$5:$B$402&gt;=M$4)*('Comp.'!$B$5:$B$402&lt;=EOMONTH(M$4,0))*('Comp.'!$E$5:$E$402))</f>
        <v>0</v>
      </c>
      <c r="N147" s="11">
        <f>SUMPRODUCT((Diário!$E$4:$E$2662='Analítico Cp.'!$B147)*(Diário!$C$4:$C$2662&gt;=N$4)*(Diário!$C$4:$C$2662&lt;=EOMONTH(N$4,0))*(Diário!$F$4:$F$2662))
+SUMPRODUCT(('Comp.'!$D$5:$D$402=$B147)*('Comp.'!$B$5:$B$402&gt;=N$4)*('Comp.'!$B$5:$B$402&lt;=EOMONTH(N$4,0))*('Comp.'!$E$5:$E$402))</f>
        <v>0</v>
      </c>
      <c r="O147" s="12">
        <f t="shared" si="16"/>
        <v>2800</v>
      </c>
      <c r="P147" s="95">
        <f t="shared" si="17"/>
        <v>1.4022639474236526E-4</v>
      </c>
    </row>
    <row r="148" spans="1:16" ht="23.25" customHeight="1">
      <c r="A148" s="40" t="s">
        <v>538</v>
      </c>
      <c r="B148" s="60" t="s">
        <v>485</v>
      </c>
      <c r="C148" s="11">
        <f>SUMPRODUCT((Diário!$E$4:$E$2662='Analítico Cp.'!$B148)*(Diário!$C$4:$C$2662&gt;=C$4)*(Diário!$C$4:$C$2662&lt;=EOMONTH(C$4,0))*(Diário!$F$4:$F$2662))
+SUMPRODUCT(('Comp.'!$D$5:$D$402=$B148)*('Comp.'!$B$5:$B$402&gt;=C$4)*('Comp.'!$B$5:$B$402&lt;=EOMONTH(C$4,0))*('Comp.'!$E$5:$E$402))</f>
        <v>0</v>
      </c>
      <c r="D148" s="11">
        <f>SUMPRODUCT((Diário!$E$4:$E$2662='Analítico Cp.'!$B148)*(Diário!$C$4:$C$2662&gt;=D$4)*(Diário!$C$4:$C$2662&lt;=EOMONTH(D$4,0))*(Diário!$F$4:$F$2662))
+SUMPRODUCT(('Comp.'!$D$5:$D$402=$B148)*('Comp.'!$B$5:$B$402&gt;=D$4)*('Comp.'!$B$5:$B$402&lt;=EOMONTH(D$4,0))*('Comp.'!$E$5:$E$402))</f>
        <v>0</v>
      </c>
      <c r="E148" s="11">
        <f>SUMPRODUCT((Diário!$E$4:$E$2662='Analítico Cp.'!$B148)*(Diário!$C$4:$C$2662&gt;=E$4)*(Diário!$C$4:$C$2662&lt;=EOMONTH(E$4,0))*(Diário!$F$4:$F$2662))
+SUMPRODUCT(('Comp.'!$D$5:$D$402=$B148)*('Comp.'!$B$5:$B$402&gt;=E$4)*('Comp.'!$B$5:$B$402&lt;=EOMONTH(E$4,0))*('Comp.'!$E$5:$E$402))</f>
        <v>0</v>
      </c>
      <c r="F148" s="11">
        <f>SUMPRODUCT((Diário!$E$4:$E$2662='Analítico Cp.'!$B148)*(Diário!$C$4:$C$2662&gt;=F$4)*(Diário!$C$4:$C$2662&lt;=EOMONTH(F$4,0))*(Diário!$F$4:$F$2662))
+SUMPRODUCT(('Comp.'!$D$5:$D$402=$B148)*('Comp.'!$B$5:$B$402&gt;=F$4)*('Comp.'!$B$5:$B$402&lt;=EOMONTH(F$4,0))*('Comp.'!$E$5:$E$402))</f>
        <v>0</v>
      </c>
      <c r="G148" s="11">
        <f>SUMPRODUCT((Diário!$E$4:$E$2662='Analítico Cp.'!$B148)*(Diário!$C$4:$C$2662&gt;=G$4)*(Diário!$C$4:$C$2662&lt;=EOMONTH(G$4,0))*(Diário!$F$4:$F$2662))
+SUMPRODUCT(('Comp.'!$D$5:$D$402=$B148)*('Comp.'!$B$5:$B$402&gt;=G$4)*('Comp.'!$B$5:$B$402&lt;=EOMONTH(G$4,0))*('Comp.'!$E$5:$E$402))</f>
        <v>0</v>
      </c>
      <c r="H148" s="11">
        <f>SUMPRODUCT((Diário!$E$4:$E$2662='Analítico Cp.'!$B148)*(Diário!$C$4:$C$2662&gt;=H$4)*(Diário!$C$4:$C$2662&lt;=EOMONTH(H$4,0))*(Diário!$F$4:$F$2662))
+SUMPRODUCT(('Comp.'!$D$5:$D$402=$B148)*('Comp.'!$B$5:$B$402&gt;=H$4)*('Comp.'!$B$5:$B$402&lt;=EOMONTH(H$4,0))*('Comp.'!$E$5:$E$402))</f>
        <v>2580</v>
      </c>
      <c r="I148" s="11">
        <f>SUMPRODUCT((Diário!$E$4:$E$2662='Analítico Cp.'!$B148)*(Diário!$C$4:$C$2662&gt;=I$4)*(Diário!$C$4:$C$2662&lt;=EOMONTH(I$4,0))*(Diário!$F$4:$F$2662))
+SUMPRODUCT(('Comp.'!$D$5:$D$402=$B148)*('Comp.'!$B$5:$B$402&gt;=I$4)*('Comp.'!$B$5:$B$402&lt;=EOMONTH(I$4,0))*('Comp.'!$E$5:$E$402))</f>
        <v>0</v>
      </c>
      <c r="J148" s="11">
        <f>SUMPRODUCT((Diário!$E$4:$E$2662='Analítico Cp.'!$B148)*(Diário!$C$4:$C$2662&gt;=J$4)*(Diário!$C$4:$C$2662&lt;=EOMONTH(J$4,0))*(Diário!$F$4:$F$2662))
+SUMPRODUCT(('Comp.'!$D$5:$D$402=$B148)*('Comp.'!$B$5:$B$402&gt;=J$4)*('Comp.'!$B$5:$B$402&lt;=EOMONTH(J$4,0))*('Comp.'!$E$5:$E$402))</f>
        <v>0</v>
      </c>
      <c r="K148" s="11">
        <f>SUMPRODUCT((Diário!$E$4:$E$2662='Analítico Cp.'!$B148)*(Diário!$C$4:$C$2662&gt;=K$4)*(Diário!$C$4:$C$2662&lt;=EOMONTH(K$4,0))*(Diário!$F$4:$F$2662))
+SUMPRODUCT(('Comp.'!$D$5:$D$402=$B148)*('Comp.'!$B$5:$B$402&gt;=K$4)*('Comp.'!$B$5:$B$402&lt;=EOMONTH(K$4,0))*('Comp.'!$E$5:$E$402))</f>
        <v>0</v>
      </c>
      <c r="L148" s="11">
        <f>SUMPRODUCT((Diário!$E$4:$E$2662='Analítico Cp.'!$B148)*(Diário!$C$4:$C$2662&gt;=L$4)*(Diário!$C$4:$C$2662&lt;=EOMONTH(L$4,0))*(Diário!$F$4:$F$2662))
+SUMPRODUCT(('Comp.'!$D$5:$D$402=$B148)*('Comp.'!$B$5:$B$402&gt;=L$4)*('Comp.'!$B$5:$B$402&lt;=EOMONTH(L$4,0))*('Comp.'!$E$5:$E$402))</f>
        <v>0</v>
      </c>
      <c r="M148" s="11">
        <f>SUMPRODUCT((Diário!$E$4:$E$2662='Analítico Cp.'!$B148)*(Diário!$C$4:$C$2662&gt;=M$4)*(Diário!$C$4:$C$2662&lt;=EOMONTH(M$4,0))*(Diário!$F$4:$F$2662))
+SUMPRODUCT(('Comp.'!$D$5:$D$402=$B148)*('Comp.'!$B$5:$B$402&gt;=M$4)*('Comp.'!$B$5:$B$402&lt;=EOMONTH(M$4,0))*('Comp.'!$E$5:$E$402))</f>
        <v>0</v>
      </c>
      <c r="N148" s="11">
        <f>SUMPRODUCT((Diário!$E$4:$E$2662='Analítico Cp.'!$B148)*(Diário!$C$4:$C$2662&gt;=N$4)*(Diário!$C$4:$C$2662&lt;=EOMONTH(N$4,0))*(Diário!$F$4:$F$2662))
+SUMPRODUCT(('Comp.'!$D$5:$D$402=$B148)*('Comp.'!$B$5:$B$402&gt;=N$4)*('Comp.'!$B$5:$B$402&lt;=EOMONTH(N$4,0))*('Comp.'!$E$5:$E$402))</f>
        <v>0</v>
      </c>
      <c r="O148" s="12">
        <f t="shared" si="16"/>
        <v>2580</v>
      </c>
      <c r="P148" s="95">
        <f t="shared" si="17"/>
        <v>1.2920860658403657E-4</v>
      </c>
    </row>
    <row r="149" spans="1:16" ht="23.25" customHeight="1">
      <c r="A149" s="40" t="s">
        <v>539</v>
      </c>
      <c r="B149" s="60" t="s">
        <v>486</v>
      </c>
      <c r="C149" s="11">
        <f>SUMPRODUCT((Diário!$E$4:$E$2662='Analítico Cp.'!$B149)*(Diário!$C$4:$C$2662&gt;=C$4)*(Diário!$C$4:$C$2662&lt;=EOMONTH(C$4,0))*(Diário!$F$4:$F$2662))
+SUMPRODUCT(('Comp.'!$D$5:$D$402=$B149)*('Comp.'!$B$5:$B$402&gt;=C$4)*('Comp.'!$B$5:$B$402&lt;=EOMONTH(C$4,0))*('Comp.'!$E$5:$E$402))</f>
        <v>0</v>
      </c>
      <c r="D149" s="11">
        <f>SUMPRODUCT((Diário!$E$4:$E$2662='Analítico Cp.'!$B149)*(Diário!$C$4:$C$2662&gt;=D$4)*(Diário!$C$4:$C$2662&lt;=EOMONTH(D$4,0))*(Diário!$F$4:$F$2662))
+SUMPRODUCT(('Comp.'!$D$5:$D$402=$B149)*('Comp.'!$B$5:$B$402&gt;=D$4)*('Comp.'!$B$5:$B$402&lt;=EOMONTH(D$4,0))*('Comp.'!$E$5:$E$402))</f>
        <v>0</v>
      </c>
      <c r="E149" s="11">
        <f>SUMPRODUCT((Diário!$E$4:$E$2662='Analítico Cp.'!$B149)*(Diário!$C$4:$C$2662&gt;=E$4)*(Diário!$C$4:$C$2662&lt;=EOMONTH(E$4,0))*(Diário!$F$4:$F$2662))
+SUMPRODUCT(('Comp.'!$D$5:$D$402=$B149)*('Comp.'!$B$5:$B$402&gt;=E$4)*('Comp.'!$B$5:$B$402&lt;=EOMONTH(E$4,0))*('Comp.'!$E$5:$E$402))</f>
        <v>0</v>
      </c>
      <c r="F149" s="11">
        <f>SUMPRODUCT((Diário!$E$4:$E$2662='Analítico Cp.'!$B149)*(Diário!$C$4:$C$2662&gt;=F$4)*(Diário!$C$4:$C$2662&lt;=EOMONTH(F$4,0))*(Diário!$F$4:$F$2662))
+SUMPRODUCT(('Comp.'!$D$5:$D$402=$B149)*('Comp.'!$B$5:$B$402&gt;=F$4)*('Comp.'!$B$5:$B$402&lt;=EOMONTH(F$4,0))*('Comp.'!$E$5:$E$402))</f>
        <v>0</v>
      </c>
      <c r="G149" s="11">
        <f>SUMPRODUCT((Diário!$E$4:$E$2662='Analítico Cp.'!$B149)*(Diário!$C$4:$C$2662&gt;=G$4)*(Diário!$C$4:$C$2662&lt;=EOMONTH(G$4,0))*(Diário!$F$4:$F$2662))
+SUMPRODUCT(('Comp.'!$D$5:$D$402=$B149)*('Comp.'!$B$5:$B$402&gt;=G$4)*('Comp.'!$B$5:$B$402&lt;=EOMONTH(G$4,0))*('Comp.'!$E$5:$E$402))</f>
        <v>0</v>
      </c>
      <c r="H149" s="11">
        <f>SUMPRODUCT((Diário!$E$4:$E$2662='Analítico Cp.'!$B149)*(Diário!$C$4:$C$2662&gt;=H$4)*(Diário!$C$4:$C$2662&lt;=EOMONTH(H$4,0))*(Diário!$F$4:$F$2662))
+SUMPRODUCT(('Comp.'!$D$5:$D$402=$B149)*('Comp.'!$B$5:$B$402&gt;=H$4)*('Comp.'!$B$5:$B$402&lt;=EOMONTH(H$4,0))*('Comp.'!$E$5:$E$402))</f>
        <v>0</v>
      </c>
      <c r="I149" s="11">
        <f>SUMPRODUCT((Diário!$E$4:$E$2662='Analítico Cp.'!$B149)*(Diário!$C$4:$C$2662&gt;=I$4)*(Diário!$C$4:$C$2662&lt;=EOMONTH(I$4,0))*(Diário!$F$4:$F$2662))
+SUMPRODUCT(('Comp.'!$D$5:$D$402=$B149)*('Comp.'!$B$5:$B$402&gt;=I$4)*('Comp.'!$B$5:$B$402&lt;=EOMONTH(I$4,0))*('Comp.'!$E$5:$E$402))</f>
        <v>0</v>
      </c>
      <c r="J149" s="11">
        <f>SUMPRODUCT((Diário!$E$4:$E$2662='Analítico Cp.'!$B149)*(Diário!$C$4:$C$2662&gt;=J$4)*(Diário!$C$4:$C$2662&lt;=EOMONTH(J$4,0))*(Diário!$F$4:$F$2662))
+SUMPRODUCT(('Comp.'!$D$5:$D$402=$B149)*('Comp.'!$B$5:$B$402&gt;=J$4)*('Comp.'!$B$5:$B$402&lt;=EOMONTH(J$4,0))*('Comp.'!$E$5:$E$402))</f>
        <v>0</v>
      </c>
      <c r="K149" s="11">
        <f>SUMPRODUCT((Diário!$E$4:$E$2662='Analítico Cp.'!$B149)*(Diário!$C$4:$C$2662&gt;=K$4)*(Diário!$C$4:$C$2662&lt;=EOMONTH(K$4,0))*(Diário!$F$4:$F$2662))
+SUMPRODUCT(('Comp.'!$D$5:$D$402=$B149)*('Comp.'!$B$5:$B$402&gt;=K$4)*('Comp.'!$B$5:$B$402&lt;=EOMONTH(K$4,0))*('Comp.'!$E$5:$E$402))</f>
        <v>0</v>
      </c>
      <c r="L149" s="11">
        <f>SUMPRODUCT((Diário!$E$4:$E$2662='Analítico Cp.'!$B149)*(Diário!$C$4:$C$2662&gt;=L$4)*(Diário!$C$4:$C$2662&lt;=EOMONTH(L$4,0))*(Diário!$F$4:$F$2662))
+SUMPRODUCT(('Comp.'!$D$5:$D$402=$B149)*('Comp.'!$B$5:$B$402&gt;=L$4)*('Comp.'!$B$5:$B$402&lt;=EOMONTH(L$4,0))*('Comp.'!$E$5:$E$402))</f>
        <v>0</v>
      </c>
      <c r="M149" s="11">
        <f>SUMPRODUCT((Diário!$E$4:$E$2662='Analítico Cp.'!$B149)*(Diário!$C$4:$C$2662&gt;=M$4)*(Diário!$C$4:$C$2662&lt;=EOMONTH(M$4,0))*(Diário!$F$4:$F$2662))
+SUMPRODUCT(('Comp.'!$D$5:$D$402=$B149)*('Comp.'!$B$5:$B$402&gt;=M$4)*('Comp.'!$B$5:$B$402&lt;=EOMONTH(M$4,0))*('Comp.'!$E$5:$E$402))</f>
        <v>0</v>
      </c>
      <c r="N149" s="11">
        <f>SUMPRODUCT((Diário!$E$4:$E$2662='Analítico Cp.'!$B149)*(Diário!$C$4:$C$2662&gt;=N$4)*(Diário!$C$4:$C$2662&lt;=EOMONTH(N$4,0))*(Diário!$F$4:$F$2662))
+SUMPRODUCT(('Comp.'!$D$5:$D$402=$B149)*('Comp.'!$B$5:$B$402&gt;=N$4)*('Comp.'!$B$5:$B$402&lt;=EOMONTH(N$4,0))*('Comp.'!$E$5:$E$402))</f>
        <v>0</v>
      </c>
      <c r="O149" s="12">
        <f t="shared" si="16"/>
        <v>0</v>
      </c>
      <c r="P149" s="95">
        <f t="shared" si="17"/>
        <v>0</v>
      </c>
    </row>
    <row r="150" spans="1:16" ht="23.25" customHeight="1">
      <c r="A150" s="40" t="s">
        <v>540</v>
      </c>
      <c r="B150" s="60" t="s">
        <v>487</v>
      </c>
      <c r="C150" s="11">
        <f>SUMPRODUCT((Diário!$E$4:$E$2662='Analítico Cp.'!$B150)*(Diário!$C$4:$C$2662&gt;=C$4)*(Diário!$C$4:$C$2662&lt;=EOMONTH(C$4,0))*(Diário!$F$4:$F$2662))
+SUMPRODUCT(('Comp.'!$D$5:$D$402=$B150)*('Comp.'!$B$5:$B$402&gt;=C$4)*('Comp.'!$B$5:$B$402&lt;=EOMONTH(C$4,0))*('Comp.'!$E$5:$E$402))</f>
        <v>0</v>
      </c>
      <c r="D150" s="11">
        <f>SUMPRODUCT((Diário!$E$4:$E$2662='Analítico Cp.'!$B150)*(Diário!$C$4:$C$2662&gt;=D$4)*(Diário!$C$4:$C$2662&lt;=EOMONTH(D$4,0))*(Diário!$F$4:$F$2662))
+SUMPRODUCT(('Comp.'!$D$5:$D$402=$B150)*('Comp.'!$B$5:$B$402&gt;=D$4)*('Comp.'!$B$5:$B$402&lt;=EOMONTH(D$4,0))*('Comp.'!$E$5:$E$402))</f>
        <v>0</v>
      </c>
      <c r="E150" s="11">
        <f>SUMPRODUCT((Diário!$E$4:$E$2662='Analítico Cp.'!$B150)*(Diário!$C$4:$C$2662&gt;=E$4)*(Diário!$C$4:$C$2662&lt;=EOMONTH(E$4,0))*(Diário!$F$4:$F$2662))
+SUMPRODUCT(('Comp.'!$D$5:$D$402=$B150)*('Comp.'!$B$5:$B$402&gt;=E$4)*('Comp.'!$B$5:$B$402&lt;=EOMONTH(E$4,0))*('Comp.'!$E$5:$E$402))</f>
        <v>0</v>
      </c>
      <c r="F150" s="11">
        <f>SUMPRODUCT((Diário!$E$4:$E$2662='Analítico Cp.'!$B150)*(Diário!$C$4:$C$2662&gt;=F$4)*(Diário!$C$4:$C$2662&lt;=EOMONTH(F$4,0))*(Diário!$F$4:$F$2662))
+SUMPRODUCT(('Comp.'!$D$5:$D$402=$B150)*('Comp.'!$B$5:$B$402&gt;=F$4)*('Comp.'!$B$5:$B$402&lt;=EOMONTH(F$4,0))*('Comp.'!$E$5:$E$402))</f>
        <v>0</v>
      </c>
      <c r="G150" s="11">
        <f>SUMPRODUCT((Diário!$E$4:$E$2662='Analítico Cp.'!$B150)*(Diário!$C$4:$C$2662&gt;=G$4)*(Diário!$C$4:$C$2662&lt;=EOMONTH(G$4,0))*(Diário!$F$4:$F$2662))
+SUMPRODUCT(('Comp.'!$D$5:$D$402=$B150)*('Comp.'!$B$5:$B$402&gt;=G$4)*('Comp.'!$B$5:$B$402&lt;=EOMONTH(G$4,0))*('Comp.'!$E$5:$E$402))</f>
        <v>0</v>
      </c>
      <c r="H150" s="11">
        <f>SUMPRODUCT((Diário!$E$4:$E$2662='Analítico Cp.'!$B150)*(Diário!$C$4:$C$2662&gt;=H$4)*(Diário!$C$4:$C$2662&lt;=EOMONTH(H$4,0))*(Diário!$F$4:$F$2662))
+SUMPRODUCT(('Comp.'!$D$5:$D$402=$B150)*('Comp.'!$B$5:$B$402&gt;=H$4)*('Comp.'!$B$5:$B$402&lt;=EOMONTH(H$4,0))*('Comp.'!$E$5:$E$402))</f>
        <v>0</v>
      </c>
      <c r="I150" s="11">
        <f>SUMPRODUCT((Diário!$E$4:$E$2662='Analítico Cp.'!$B150)*(Diário!$C$4:$C$2662&gt;=I$4)*(Diário!$C$4:$C$2662&lt;=EOMONTH(I$4,0))*(Diário!$F$4:$F$2662))
+SUMPRODUCT(('Comp.'!$D$5:$D$402=$B150)*('Comp.'!$B$5:$B$402&gt;=I$4)*('Comp.'!$B$5:$B$402&lt;=EOMONTH(I$4,0))*('Comp.'!$E$5:$E$402))</f>
        <v>0</v>
      </c>
      <c r="J150" s="11">
        <f>SUMPRODUCT((Diário!$E$4:$E$2662='Analítico Cp.'!$B150)*(Diário!$C$4:$C$2662&gt;=J$4)*(Diário!$C$4:$C$2662&lt;=EOMONTH(J$4,0))*(Diário!$F$4:$F$2662))
+SUMPRODUCT(('Comp.'!$D$5:$D$402=$B150)*('Comp.'!$B$5:$B$402&gt;=J$4)*('Comp.'!$B$5:$B$402&lt;=EOMONTH(J$4,0))*('Comp.'!$E$5:$E$402))</f>
        <v>0</v>
      </c>
      <c r="K150" s="11">
        <f>SUMPRODUCT((Diário!$E$4:$E$2662='Analítico Cp.'!$B150)*(Diário!$C$4:$C$2662&gt;=K$4)*(Diário!$C$4:$C$2662&lt;=EOMONTH(K$4,0))*(Diário!$F$4:$F$2662))
+SUMPRODUCT(('Comp.'!$D$5:$D$402=$B150)*('Comp.'!$B$5:$B$402&gt;=K$4)*('Comp.'!$B$5:$B$402&lt;=EOMONTH(K$4,0))*('Comp.'!$E$5:$E$402))</f>
        <v>0</v>
      </c>
      <c r="L150" s="11">
        <f>SUMPRODUCT((Diário!$E$4:$E$2662='Analítico Cp.'!$B150)*(Diário!$C$4:$C$2662&gt;=L$4)*(Diário!$C$4:$C$2662&lt;=EOMONTH(L$4,0))*(Diário!$F$4:$F$2662))
+SUMPRODUCT(('Comp.'!$D$5:$D$402=$B150)*('Comp.'!$B$5:$B$402&gt;=L$4)*('Comp.'!$B$5:$B$402&lt;=EOMONTH(L$4,0))*('Comp.'!$E$5:$E$402))</f>
        <v>0</v>
      </c>
      <c r="M150" s="11">
        <f>SUMPRODUCT((Diário!$E$4:$E$2662='Analítico Cp.'!$B150)*(Diário!$C$4:$C$2662&gt;=M$4)*(Diário!$C$4:$C$2662&lt;=EOMONTH(M$4,0))*(Diário!$F$4:$F$2662))
+SUMPRODUCT(('Comp.'!$D$5:$D$402=$B150)*('Comp.'!$B$5:$B$402&gt;=M$4)*('Comp.'!$B$5:$B$402&lt;=EOMONTH(M$4,0))*('Comp.'!$E$5:$E$402))</f>
        <v>0</v>
      </c>
      <c r="N150" s="11">
        <f>SUMPRODUCT((Diário!$E$4:$E$2662='Analítico Cp.'!$B150)*(Diário!$C$4:$C$2662&gt;=N$4)*(Diário!$C$4:$C$2662&lt;=EOMONTH(N$4,0))*(Diário!$F$4:$F$2662))
+SUMPRODUCT(('Comp.'!$D$5:$D$402=$B150)*('Comp.'!$B$5:$B$402&gt;=N$4)*('Comp.'!$B$5:$B$402&lt;=EOMONTH(N$4,0))*('Comp.'!$E$5:$E$402))</f>
        <v>0</v>
      </c>
      <c r="O150" s="12">
        <f t="shared" si="16"/>
        <v>0</v>
      </c>
      <c r="P150" s="95">
        <f t="shared" si="17"/>
        <v>0</v>
      </c>
    </row>
    <row r="151" spans="1:16" ht="23.25" customHeight="1">
      <c r="A151" s="40" t="s">
        <v>541</v>
      </c>
      <c r="B151" s="60" t="s">
        <v>488</v>
      </c>
      <c r="C151" s="11">
        <f>SUMPRODUCT((Diário!$E$4:$E$2662='Analítico Cp.'!$B151)*(Diário!$C$4:$C$2662&gt;=C$4)*(Diário!$C$4:$C$2662&lt;=EOMONTH(C$4,0))*(Diário!$F$4:$F$2662))
+SUMPRODUCT(('Comp.'!$D$5:$D$402=$B151)*('Comp.'!$B$5:$B$402&gt;=C$4)*('Comp.'!$B$5:$B$402&lt;=EOMONTH(C$4,0))*('Comp.'!$E$5:$E$402))</f>
        <v>0</v>
      </c>
      <c r="D151" s="11">
        <f>SUMPRODUCT((Diário!$E$4:$E$2662='Analítico Cp.'!$B151)*(Diário!$C$4:$C$2662&gt;=D$4)*(Diário!$C$4:$C$2662&lt;=EOMONTH(D$4,0))*(Diário!$F$4:$F$2662))
+SUMPRODUCT(('Comp.'!$D$5:$D$402=$B151)*('Comp.'!$B$5:$B$402&gt;=D$4)*('Comp.'!$B$5:$B$402&lt;=EOMONTH(D$4,0))*('Comp.'!$E$5:$E$402))</f>
        <v>0</v>
      </c>
      <c r="E151" s="11">
        <f>SUMPRODUCT((Diário!$E$4:$E$2662='Analítico Cp.'!$B151)*(Diário!$C$4:$C$2662&gt;=E$4)*(Diário!$C$4:$C$2662&lt;=EOMONTH(E$4,0))*(Diário!$F$4:$F$2662))
+SUMPRODUCT(('Comp.'!$D$5:$D$402=$B151)*('Comp.'!$B$5:$B$402&gt;=E$4)*('Comp.'!$B$5:$B$402&lt;=EOMONTH(E$4,0))*('Comp.'!$E$5:$E$402))</f>
        <v>0</v>
      </c>
      <c r="F151" s="11">
        <f>SUMPRODUCT((Diário!$E$4:$E$2662='Analítico Cp.'!$B151)*(Diário!$C$4:$C$2662&gt;=F$4)*(Diário!$C$4:$C$2662&lt;=EOMONTH(F$4,0))*(Diário!$F$4:$F$2662))
+SUMPRODUCT(('Comp.'!$D$5:$D$402=$B151)*('Comp.'!$B$5:$B$402&gt;=F$4)*('Comp.'!$B$5:$B$402&lt;=EOMONTH(F$4,0))*('Comp.'!$E$5:$E$402))</f>
        <v>0</v>
      </c>
      <c r="G151" s="11">
        <f>SUMPRODUCT((Diário!$E$4:$E$2662='Analítico Cp.'!$B151)*(Diário!$C$4:$C$2662&gt;=G$4)*(Diário!$C$4:$C$2662&lt;=EOMONTH(G$4,0))*(Diário!$F$4:$F$2662))
+SUMPRODUCT(('Comp.'!$D$5:$D$402=$B151)*('Comp.'!$B$5:$B$402&gt;=G$4)*('Comp.'!$B$5:$B$402&lt;=EOMONTH(G$4,0))*('Comp.'!$E$5:$E$402))</f>
        <v>0</v>
      </c>
      <c r="H151" s="11">
        <f>SUMPRODUCT((Diário!$E$4:$E$2662='Analítico Cp.'!$B151)*(Diário!$C$4:$C$2662&gt;=H$4)*(Diário!$C$4:$C$2662&lt;=EOMONTH(H$4,0))*(Diário!$F$4:$F$2662))
+SUMPRODUCT(('Comp.'!$D$5:$D$402=$B151)*('Comp.'!$B$5:$B$402&gt;=H$4)*('Comp.'!$B$5:$B$402&lt;=EOMONTH(H$4,0))*('Comp.'!$E$5:$E$402))</f>
        <v>0</v>
      </c>
      <c r="I151" s="11">
        <f>SUMPRODUCT((Diário!$E$4:$E$2662='Analítico Cp.'!$B151)*(Diário!$C$4:$C$2662&gt;=I$4)*(Diário!$C$4:$C$2662&lt;=EOMONTH(I$4,0))*(Diário!$F$4:$F$2662))
+SUMPRODUCT(('Comp.'!$D$5:$D$402=$B151)*('Comp.'!$B$5:$B$402&gt;=I$4)*('Comp.'!$B$5:$B$402&lt;=EOMONTH(I$4,0))*('Comp.'!$E$5:$E$402))</f>
        <v>0</v>
      </c>
      <c r="J151" s="11">
        <f>SUMPRODUCT((Diário!$E$4:$E$2662='Analítico Cp.'!$B151)*(Diário!$C$4:$C$2662&gt;=J$4)*(Diário!$C$4:$C$2662&lt;=EOMONTH(J$4,0))*(Diário!$F$4:$F$2662))
+SUMPRODUCT(('Comp.'!$D$5:$D$402=$B151)*('Comp.'!$B$5:$B$402&gt;=J$4)*('Comp.'!$B$5:$B$402&lt;=EOMONTH(J$4,0))*('Comp.'!$E$5:$E$402))</f>
        <v>0</v>
      </c>
      <c r="K151" s="11">
        <f>SUMPRODUCT((Diário!$E$4:$E$2662='Analítico Cp.'!$B151)*(Diário!$C$4:$C$2662&gt;=K$4)*(Diário!$C$4:$C$2662&lt;=EOMONTH(K$4,0))*(Diário!$F$4:$F$2662))
+SUMPRODUCT(('Comp.'!$D$5:$D$402=$B151)*('Comp.'!$B$5:$B$402&gt;=K$4)*('Comp.'!$B$5:$B$402&lt;=EOMONTH(K$4,0))*('Comp.'!$E$5:$E$402))</f>
        <v>0</v>
      </c>
      <c r="L151" s="11">
        <f>SUMPRODUCT((Diário!$E$4:$E$2662='Analítico Cp.'!$B151)*(Diário!$C$4:$C$2662&gt;=L$4)*(Diário!$C$4:$C$2662&lt;=EOMONTH(L$4,0))*(Diário!$F$4:$F$2662))
+SUMPRODUCT(('Comp.'!$D$5:$D$402=$B151)*('Comp.'!$B$5:$B$402&gt;=L$4)*('Comp.'!$B$5:$B$402&lt;=EOMONTH(L$4,0))*('Comp.'!$E$5:$E$402))</f>
        <v>0</v>
      </c>
      <c r="M151" s="11">
        <f>SUMPRODUCT((Diário!$E$4:$E$2662='Analítico Cp.'!$B151)*(Diário!$C$4:$C$2662&gt;=M$4)*(Diário!$C$4:$C$2662&lt;=EOMONTH(M$4,0))*(Diário!$F$4:$F$2662))
+SUMPRODUCT(('Comp.'!$D$5:$D$402=$B151)*('Comp.'!$B$5:$B$402&gt;=M$4)*('Comp.'!$B$5:$B$402&lt;=EOMONTH(M$4,0))*('Comp.'!$E$5:$E$402))</f>
        <v>0</v>
      </c>
      <c r="N151" s="11">
        <f>SUMPRODUCT((Diário!$E$4:$E$2662='Analítico Cp.'!$B151)*(Diário!$C$4:$C$2662&gt;=N$4)*(Diário!$C$4:$C$2662&lt;=EOMONTH(N$4,0))*(Diário!$F$4:$F$2662))
+SUMPRODUCT(('Comp.'!$D$5:$D$402=$B151)*('Comp.'!$B$5:$B$402&gt;=N$4)*('Comp.'!$B$5:$B$402&lt;=EOMONTH(N$4,0))*('Comp.'!$E$5:$E$402))</f>
        <v>0</v>
      </c>
      <c r="O151" s="12">
        <f t="shared" si="16"/>
        <v>0</v>
      </c>
      <c r="P151" s="95">
        <f t="shared" si="17"/>
        <v>0</v>
      </c>
    </row>
    <row r="152" spans="1:16" ht="23.25" customHeight="1">
      <c r="A152" s="40" t="s">
        <v>542</v>
      </c>
      <c r="B152" s="60" t="s">
        <v>489</v>
      </c>
      <c r="C152" s="11">
        <f>SUMPRODUCT((Diário!$E$4:$E$2662='Analítico Cp.'!$B152)*(Diário!$C$4:$C$2662&gt;=C$4)*(Diário!$C$4:$C$2662&lt;=EOMONTH(C$4,0))*(Diário!$F$4:$F$2662))
+SUMPRODUCT(('Comp.'!$D$5:$D$402=$B152)*('Comp.'!$B$5:$B$402&gt;=C$4)*('Comp.'!$B$5:$B$402&lt;=EOMONTH(C$4,0))*('Comp.'!$E$5:$E$402))</f>
        <v>610.84</v>
      </c>
      <c r="D152" s="11">
        <f>SUMPRODUCT((Diário!$E$4:$E$2662='Analítico Cp.'!$B152)*(Diário!$C$4:$C$2662&gt;=D$4)*(Diário!$C$4:$C$2662&lt;=EOMONTH(D$4,0))*(Diário!$F$4:$F$2662))
+SUMPRODUCT(('Comp.'!$D$5:$D$402=$B152)*('Comp.'!$B$5:$B$402&gt;=D$4)*('Comp.'!$B$5:$B$402&lt;=EOMONTH(D$4,0))*('Comp.'!$E$5:$E$402))</f>
        <v>610.84</v>
      </c>
      <c r="E152" s="11">
        <f>SUMPRODUCT((Diário!$E$4:$E$2662='Analítico Cp.'!$B152)*(Diário!$C$4:$C$2662&gt;=E$4)*(Diário!$C$4:$C$2662&lt;=EOMONTH(E$4,0))*(Diário!$F$4:$F$2662))
+SUMPRODUCT(('Comp.'!$D$5:$D$402=$B152)*('Comp.'!$B$5:$B$402&gt;=E$4)*('Comp.'!$B$5:$B$402&lt;=EOMONTH(E$4,0))*('Comp.'!$E$5:$E$402))</f>
        <v>610.84</v>
      </c>
      <c r="F152" s="11">
        <f>SUMPRODUCT((Diário!$E$4:$E$2662='Analítico Cp.'!$B152)*(Diário!$C$4:$C$2662&gt;=F$4)*(Diário!$C$4:$C$2662&lt;=EOMONTH(F$4,0))*(Diário!$F$4:$F$2662))
+SUMPRODUCT(('Comp.'!$D$5:$D$402=$B152)*('Comp.'!$B$5:$B$402&gt;=F$4)*('Comp.'!$B$5:$B$402&lt;=EOMONTH(F$4,0))*('Comp.'!$E$5:$E$402))</f>
        <v>610.84</v>
      </c>
      <c r="G152" s="11">
        <f>SUMPRODUCT((Diário!$E$4:$E$2662='Analítico Cp.'!$B152)*(Diário!$C$4:$C$2662&gt;=G$4)*(Diário!$C$4:$C$2662&lt;=EOMONTH(G$4,0))*(Diário!$F$4:$F$2662))
+SUMPRODUCT(('Comp.'!$D$5:$D$402=$B152)*('Comp.'!$B$5:$B$402&gt;=G$4)*('Comp.'!$B$5:$B$402&lt;=EOMONTH(G$4,0))*('Comp.'!$E$5:$E$402))</f>
        <v>6663.96</v>
      </c>
      <c r="H152" s="11">
        <f>SUMPRODUCT((Diário!$E$4:$E$2662='Analítico Cp.'!$B152)*(Diário!$C$4:$C$2662&gt;=H$4)*(Diário!$C$4:$C$2662&lt;=EOMONTH(H$4,0))*(Diário!$F$4:$F$2662))
+SUMPRODUCT(('Comp.'!$D$5:$D$402=$B152)*('Comp.'!$B$5:$B$402&gt;=H$4)*('Comp.'!$B$5:$B$402&lt;=EOMONTH(H$4,0))*('Comp.'!$E$5:$E$402))</f>
        <v>10788.84</v>
      </c>
      <c r="I152" s="11">
        <f>SUMPRODUCT((Diário!$E$4:$E$2662='Analítico Cp.'!$B152)*(Diário!$C$4:$C$2662&gt;=I$4)*(Diário!$C$4:$C$2662&lt;=EOMONTH(I$4,0))*(Diário!$F$4:$F$2662))
+SUMPRODUCT(('Comp.'!$D$5:$D$402=$B152)*('Comp.'!$B$5:$B$402&gt;=I$4)*('Comp.'!$B$5:$B$402&lt;=EOMONTH(I$4,0))*('Comp.'!$E$5:$E$402))</f>
        <v>0</v>
      </c>
      <c r="J152" s="11">
        <f>SUMPRODUCT((Diário!$E$4:$E$2662='Analítico Cp.'!$B152)*(Diário!$C$4:$C$2662&gt;=J$4)*(Diário!$C$4:$C$2662&lt;=EOMONTH(J$4,0))*(Diário!$F$4:$F$2662))
+SUMPRODUCT(('Comp.'!$D$5:$D$402=$B152)*('Comp.'!$B$5:$B$402&gt;=J$4)*('Comp.'!$B$5:$B$402&lt;=EOMONTH(J$4,0))*('Comp.'!$E$5:$E$402))</f>
        <v>0</v>
      </c>
      <c r="K152" s="11">
        <f>SUMPRODUCT((Diário!$E$4:$E$2662='Analítico Cp.'!$B152)*(Diário!$C$4:$C$2662&gt;=K$4)*(Diário!$C$4:$C$2662&lt;=EOMONTH(K$4,0))*(Diário!$F$4:$F$2662))
+SUMPRODUCT(('Comp.'!$D$5:$D$402=$B152)*('Comp.'!$B$5:$B$402&gt;=K$4)*('Comp.'!$B$5:$B$402&lt;=EOMONTH(K$4,0))*('Comp.'!$E$5:$E$402))</f>
        <v>0</v>
      </c>
      <c r="L152" s="11">
        <f>SUMPRODUCT((Diário!$E$4:$E$2662='Analítico Cp.'!$B152)*(Diário!$C$4:$C$2662&gt;=L$4)*(Diário!$C$4:$C$2662&lt;=EOMONTH(L$4,0))*(Diário!$F$4:$F$2662))
+SUMPRODUCT(('Comp.'!$D$5:$D$402=$B152)*('Comp.'!$B$5:$B$402&gt;=L$4)*('Comp.'!$B$5:$B$402&lt;=EOMONTH(L$4,0))*('Comp.'!$E$5:$E$402))</f>
        <v>0</v>
      </c>
      <c r="M152" s="11">
        <f>SUMPRODUCT((Diário!$E$4:$E$2662='Analítico Cp.'!$B152)*(Diário!$C$4:$C$2662&gt;=M$4)*(Diário!$C$4:$C$2662&lt;=EOMONTH(M$4,0))*(Diário!$F$4:$F$2662))
+SUMPRODUCT(('Comp.'!$D$5:$D$402=$B152)*('Comp.'!$B$5:$B$402&gt;=M$4)*('Comp.'!$B$5:$B$402&lt;=EOMONTH(M$4,0))*('Comp.'!$E$5:$E$402))</f>
        <v>0</v>
      </c>
      <c r="N152" s="11">
        <f>SUMPRODUCT((Diário!$E$4:$E$2662='Analítico Cp.'!$B152)*(Diário!$C$4:$C$2662&gt;=N$4)*(Diário!$C$4:$C$2662&lt;=EOMONTH(N$4,0))*(Diário!$F$4:$F$2662))
+SUMPRODUCT(('Comp.'!$D$5:$D$402=$B152)*('Comp.'!$B$5:$B$402&gt;=N$4)*('Comp.'!$B$5:$B$402&lt;=EOMONTH(N$4,0))*('Comp.'!$E$5:$E$402))</f>
        <v>0</v>
      </c>
      <c r="O152" s="12">
        <f t="shared" si="16"/>
        <v>19896.16</v>
      </c>
      <c r="P152" s="95">
        <f t="shared" si="17"/>
        <v>9.964167092918778E-4</v>
      </c>
    </row>
    <row r="153" spans="1:16" ht="23.25" customHeight="1">
      <c r="A153" s="40" t="s">
        <v>543</v>
      </c>
      <c r="B153" s="60" t="s">
        <v>490</v>
      </c>
      <c r="C153" s="11">
        <f>SUMPRODUCT((Diário!$E$4:$E$2662='Analítico Cp.'!$B153)*(Diário!$C$4:$C$2662&gt;=C$4)*(Diário!$C$4:$C$2662&lt;=EOMONTH(C$4,0))*(Diário!$F$4:$F$2662))
+SUMPRODUCT(('Comp.'!$D$5:$D$402=$B153)*('Comp.'!$B$5:$B$402&gt;=C$4)*('Comp.'!$B$5:$B$402&lt;=EOMONTH(C$4,0))*('Comp.'!$E$5:$E$402))</f>
        <v>0</v>
      </c>
      <c r="D153" s="11">
        <f>SUMPRODUCT((Diário!$E$4:$E$2662='Analítico Cp.'!$B153)*(Diário!$C$4:$C$2662&gt;=D$4)*(Diário!$C$4:$C$2662&lt;=EOMONTH(D$4,0))*(Diário!$F$4:$F$2662))
+SUMPRODUCT(('Comp.'!$D$5:$D$402=$B153)*('Comp.'!$B$5:$B$402&gt;=D$4)*('Comp.'!$B$5:$B$402&lt;=EOMONTH(D$4,0))*('Comp.'!$E$5:$E$402))</f>
        <v>136168.68000000002</v>
      </c>
      <c r="E153" s="11">
        <f>SUMPRODUCT((Diário!$E$4:$E$2662='Analítico Cp.'!$B153)*(Diário!$C$4:$C$2662&gt;=E$4)*(Diário!$C$4:$C$2662&lt;=EOMONTH(E$4,0))*(Diário!$F$4:$F$2662))
+SUMPRODUCT(('Comp.'!$D$5:$D$402=$B153)*('Comp.'!$B$5:$B$402&gt;=E$4)*('Comp.'!$B$5:$B$402&lt;=EOMONTH(E$4,0))*('Comp.'!$E$5:$E$402))</f>
        <v>136168.68000000002</v>
      </c>
      <c r="F153" s="11">
        <f>SUMPRODUCT((Diário!$E$4:$E$2662='Analítico Cp.'!$B153)*(Diário!$C$4:$C$2662&gt;=F$4)*(Diário!$C$4:$C$2662&lt;=EOMONTH(F$4,0))*(Diário!$F$4:$F$2662))
+SUMPRODUCT(('Comp.'!$D$5:$D$402=$B153)*('Comp.'!$B$5:$B$402&gt;=F$4)*('Comp.'!$B$5:$B$402&lt;=EOMONTH(F$4,0))*('Comp.'!$E$5:$E$402))</f>
        <v>136168.68000000002</v>
      </c>
      <c r="G153" s="11">
        <f>SUMPRODUCT((Diário!$E$4:$E$2662='Analítico Cp.'!$B153)*(Diário!$C$4:$C$2662&gt;=G$4)*(Diário!$C$4:$C$2662&lt;=EOMONTH(G$4,0))*(Diário!$F$4:$F$2662))
+SUMPRODUCT(('Comp.'!$D$5:$D$402=$B153)*('Comp.'!$B$5:$B$402&gt;=G$4)*('Comp.'!$B$5:$B$402&lt;=EOMONTH(G$4,0))*('Comp.'!$E$5:$E$402))</f>
        <v>136168.68000000002</v>
      </c>
      <c r="H153" s="11">
        <f>SUMPRODUCT((Diário!$E$4:$E$2662='Analítico Cp.'!$B153)*(Diário!$C$4:$C$2662&gt;=H$4)*(Diário!$C$4:$C$2662&lt;=EOMONTH(H$4,0))*(Diário!$F$4:$F$2662))
+SUMPRODUCT(('Comp.'!$D$5:$D$402=$B153)*('Comp.'!$B$5:$B$402&gt;=H$4)*('Comp.'!$B$5:$B$402&lt;=EOMONTH(H$4,0))*('Comp.'!$E$5:$E$402))</f>
        <v>261807.74</v>
      </c>
      <c r="I153" s="11">
        <f>SUMPRODUCT((Diário!$E$4:$E$2662='Analítico Cp.'!$B153)*(Diário!$C$4:$C$2662&gt;=I$4)*(Diário!$C$4:$C$2662&lt;=EOMONTH(I$4,0))*(Diário!$F$4:$F$2662))
+SUMPRODUCT(('Comp.'!$D$5:$D$402=$B153)*('Comp.'!$B$5:$B$402&gt;=I$4)*('Comp.'!$B$5:$B$402&lt;=EOMONTH(I$4,0))*('Comp.'!$E$5:$E$402))</f>
        <v>0</v>
      </c>
      <c r="J153" s="11">
        <f>SUMPRODUCT((Diário!$E$4:$E$2662='Analítico Cp.'!$B153)*(Diário!$C$4:$C$2662&gt;=J$4)*(Diário!$C$4:$C$2662&lt;=EOMONTH(J$4,0))*(Diário!$F$4:$F$2662))
+SUMPRODUCT(('Comp.'!$D$5:$D$402=$B153)*('Comp.'!$B$5:$B$402&gt;=J$4)*('Comp.'!$B$5:$B$402&lt;=EOMONTH(J$4,0))*('Comp.'!$E$5:$E$402))</f>
        <v>0</v>
      </c>
      <c r="K153" s="11">
        <f>SUMPRODUCT((Diário!$E$4:$E$2662='Analítico Cp.'!$B153)*(Diário!$C$4:$C$2662&gt;=K$4)*(Diário!$C$4:$C$2662&lt;=EOMONTH(K$4,0))*(Diário!$F$4:$F$2662))
+SUMPRODUCT(('Comp.'!$D$5:$D$402=$B153)*('Comp.'!$B$5:$B$402&gt;=K$4)*('Comp.'!$B$5:$B$402&lt;=EOMONTH(K$4,0))*('Comp.'!$E$5:$E$402))</f>
        <v>0</v>
      </c>
      <c r="L153" s="11">
        <f>SUMPRODUCT((Diário!$E$4:$E$2662='Analítico Cp.'!$B153)*(Diário!$C$4:$C$2662&gt;=L$4)*(Diário!$C$4:$C$2662&lt;=EOMONTH(L$4,0))*(Diário!$F$4:$F$2662))
+SUMPRODUCT(('Comp.'!$D$5:$D$402=$B153)*('Comp.'!$B$5:$B$402&gt;=L$4)*('Comp.'!$B$5:$B$402&lt;=EOMONTH(L$4,0))*('Comp.'!$E$5:$E$402))</f>
        <v>0</v>
      </c>
      <c r="M153" s="11">
        <f>SUMPRODUCT((Diário!$E$4:$E$2662='Analítico Cp.'!$B153)*(Diário!$C$4:$C$2662&gt;=M$4)*(Diário!$C$4:$C$2662&lt;=EOMONTH(M$4,0))*(Diário!$F$4:$F$2662))
+SUMPRODUCT(('Comp.'!$D$5:$D$402=$B153)*('Comp.'!$B$5:$B$402&gt;=M$4)*('Comp.'!$B$5:$B$402&lt;=EOMONTH(M$4,0))*('Comp.'!$E$5:$E$402))</f>
        <v>0</v>
      </c>
      <c r="N153" s="11">
        <f>SUMPRODUCT((Diário!$E$4:$E$2662='Analítico Cp.'!$B153)*(Diário!$C$4:$C$2662&gt;=N$4)*(Diário!$C$4:$C$2662&lt;=EOMONTH(N$4,0))*(Diário!$F$4:$F$2662))
+SUMPRODUCT(('Comp.'!$D$5:$D$402=$B153)*('Comp.'!$B$5:$B$402&gt;=N$4)*('Comp.'!$B$5:$B$402&lt;=EOMONTH(N$4,0))*('Comp.'!$E$5:$E$402))</f>
        <v>0</v>
      </c>
      <c r="O153" s="12">
        <f t="shared" si="16"/>
        <v>806482.46000000008</v>
      </c>
      <c r="P153" s="95">
        <f t="shared" si="17"/>
        <v>4.0389331353126362E-2</v>
      </c>
    </row>
    <row r="154" spans="1:16" ht="23.25" customHeight="1">
      <c r="A154" s="40" t="s">
        <v>544</v>
      </c>
      <c r="B154" s="60" t="s">
        <v>491</v>
      </c>
      <c r="C154" s="11">
        <f>SUMPRODUCT((Diário!$E$4:$E$2662='Analítico Cp.'!$B154)*(Diário!$C$4:$C$2662&gt;=C$4)*(Diário!$C$4:$C$2662&lt;=EOMONTH(C$4,0))*(Diário!$F$4:$F$2662))
+SUMPRODUCT(('Comp.'!$D$5:$D$402=$B154)*('Comp.'!$B$5:$B$402&gt;=C$4)*('Comp.'!$B$5:$B$402&lt;=EOMONTH(C$4,0))*('Comp.'!$E$5:$E$402))</f>
        <v>0</v>
      </c>
      <c r="D154" s="11">
        <f>SUMPRODUCT((Diário!$E$4:$E$2662='Analítico Cp.'!$B154)*(Diário!$C$4:$C$2662&gt;=D$4)*(Diário!$C$4:$C$2662&lt;=EOMONTH(D$4,0))*(Diário!$F$4:$F$2662))
+SUMPRODUCT(('Comp.'!$D$5:$D$402=$B154)*('Comp.'!$B$5:$B$402&gt;=D$4)*('Comp.'!$B$5:$B$402&lt;=EOMONTH(D$4,0))*('Comp.'!$E$5:$E$402))</f>
        <v>0</v>
      </c>
      <c r="E154" s="11">
        <f>SUMPRODUCT((Diário!$E$4:$E$2662='Analítico Cp.'!$B154)*(Diário!$C$4:$C$2662&gt;=E$4)*(Diário!$C$4:$C$2662&lt;=EOMONTH(E$4,0))*(Diário!$F$4:$F$2662))
+SUMPRODUCT(('Comp.'!$D$5:$D$402=$B154)*('Comp.'!$B$5:$B$402&gt;=E$4)*('Comp.'!$B$5:$B$402&lt;=EOMONTH(E$4,0))*('Comp.'!$E$5:$E$402))</f>
        <v>55803.28</v>
      </c>
      <c r="F154" s="11">
        <f>SUMPRODUCT((Diário!$E$4:$E$2662='Analítico Cp.'!$B154)*(Diário!$C$4:$C$2662&gt;=F$4)*(Diário!$C$4:$C$2662&lt;=EOMONTH(F$4,0))*(Diário!$F$4:$F$2662))
+SUMPRODUCT(('Comp.'!$D$5:$D$402=$B154)*('Comp.'!$B$5:$B$402&gt;=F$4)*('Comp.'!$B$5:$B$402&lt;=EOMONTH(F$4,0))*('Comp.'!$E$5:$E$402))</f>
        <v>208899.84999999998</v>
      </c>
      <c r="G154" s="11">
        <f>SUMPRODUCT((Diário!$E$4:$E$2662='Analítico Cp.'!$B154)*(Diário!$C$4:$C$2662&gt;=G$4)*(Diário!$C$4:$C$2662&lt;=EOMONTH(G$4,0))*(Diário!$F$4:$F$2662))
+SUMPRODUCT(('Comp.'!$D$5:$D$402=$B154)*('Comp.'!$B$5:$B$402&gt;=G$4)*('Comp.'!$B$5:$B$402&lt;=EOMONTH(G$4,0))*('Comp.'!$E$5:$E$402))</f>
        <v>4011</v>
      </c>
      <c r="H154" s="11">
        <f>SUMPRODUCT((Diário!$E$4:$E$2662='Analítico Cp.'!$B154)*(Diário!$C$4:$C$2662&gt;=H$4)*(Diário!$C$4:$C$2662&lt;=EOMONTH(H$4,0))*(Diário!$F$4:$F$2662))
+SUMPRODUCT(('Comp.'!$D$5:$D$402=$B154)*('Comp.'!$B$5:$B$402&gt;=H$4)*('Comp.'!$B$5:$B$402&lt;=EOMONTH(H$4,0))*('Comp.'!$E$5:$E$402))</f>
        <v>148237.07999999996</v>
      </c>
      <c r="I154" s="11">
        <f>SUMPRODUCT((Diário!$E$4:$E$2662='Analítico Cp.'!$B154)*(Diário!$C$4:$C$2662&gt;=I$4)*(Diário!$C$4:$C$2662&lt;=EOMONTH(I$4,0))*(Diário!$F$4:$F$2662))
+SUMPRODUCT(('Comp.'!$D$5:$D$402=$B154)*('Comp.'!$B$5:$B$402&gt;=I$4)*('Comp.'!$B$5:$B$402&lt;=EOMONTH(I$4,0))*('Comp.'!$E$5:$E$402))</f>
        <v>0</v>
      </c>
      <c r="J154" s="11">
        <f>SUMPRODUCT((Diário!$E$4:$E$2662='Analítico Cp.'!$B154)*(Diário!$C$4:$C$2662&gt;=J$4)*(Diário!$C$4:$C$2662&lt;=EOMONTH(J$4,0))*(Diário!$F$4:$F$2662))
+SUMPRODUCT(('Comp.'!$D$5:$D$402=$B154)*('Comp.'!$B$5:$B$402&gt;=J$4)*('Comp.'!$B$5:$B$402&lt;=EOMONTH(J$4,0))*('Comp.'!$E$5:$E$402))</f>
        <v>0</v>
      </c>
      <c r="K154" s="11">
        <f>SUMPRODUCT((Diário!$E$4:$E$2662='Analítico Cp.'!$B154)*(Diário!$C$4:$C$2662&gt;=K$4)*(Diário!$C$4:$C$2662&lt;=EOMONTH(K$4,0))*(Diário!$F$4:$F$2662))
+SUMPRODUCT(('Comp.'!$D$5:$D$402=$B154)*('Comp.'!$B$5:$B$402&gt;=K$4)*('Comp.'!$B$5:$B$402&lt;=EOMONTH(K$4,0))*('Comp.'!$E$5:$E$402))</f>
        <v>0</v>
      </c>
      <c r="L154" s="11">
        <f>SUMPRODUCT((Diário!$E$4:$E$2662='Analítico Cp.'!$B154)*(Diário!$C$4:$C$2662&gt;=L$4)*(Diário!$C$4:$C$2662&lt;=EOMONTH(L$4,0))*(Diário!$F$4:$F$2662))
+SUMPRODUCT(('Comp.'!$D$5:$D$402=$B154)*('Comp.'!$B$5:$B$402&gt;=L$4)*('Comp.'!$B$5:$B$402&lt;=EOMONTH(L$4,0))*('Comp.'!$E$5:$E$402))</f>
        <v>0</v>
      </c>
      <c r="M154" s="11">
        <f>SUMPRODUCT((Diário!$E$4:$E$2662='Analítico Cp.'!$B154)*(Diário!$C$4:$C$2662&gt;=M$4)*(Diário!$C$4:$C$2662&lt;=EOMONTH(M$4,0))*(Diário!$F$4:$F$2662))
+SUMPRODUCT(('Comp.'!$D$5:$D$402=$B154)*('Comp.'!$B$5:$B$402&gt;=M$4)*('Comp.'!$B$5:$B$402&lt;=EOMONTH(M$4,0))*('Comp.'!$E$5:$E$402))</f>
        <v>0</v>
      </c>
      <c r="N154" s="11">
        <f>SUMPRODUCT((Diário!$E$4:$E$2662='Analítico Cp.'!$B154)*(Diário!$C$4:$C$2662&gt;=N$4)*(Diário!$C$4:$C$2662&lt;=EOMONTH(N$4,0))*(Diário!$F$4:$F$2662))
+SUMPRODUCT(('Comp.'!$D$5:$D$402=$B154)*('Comp.'!$B$5:$B$402&gt;=N$4)*('Comp.'!$B$5:$B$402&lt;=EOMONTH(N$4,0))*('Comp.'!$E$5:$E$402))</f>
        <v>0</v>
      </c>
      <c r="O154" s="12">
        <f t="shared" si="16"/>
        <v>416951.20999999996</v>
      </c>
      <c r="P154" s="95">
        <f t="shared" si="17"/>
        <v>2.0881273200631011E-2</v>
      </c>
    </row>
    <row r="155" spans="1:16" ht="23.25" customHeight="1">
      <c r="A155" s="40" t="s">
        <v>545</v>
      </c>
      <c r="B155" s="60" t="s">
        <v>492</v>
      </c>
      <c r="C155" s="11">
        <f>SUMPRODUCT((Diário!$E$4:$E$2662='Analítico Cp.'!$B155)*(Diário!$C$4:$C$2662&gt;=C$4)*(Diário!$C$4:$C$2662&lt;=EOMONTH(C$4,0))*(Diário!$F$4:$F$2662))
+SUMPRODUCT(('Comp.'!$D$5:$D$402=$B155)*('Comp.'!$B$5:$B$402&gt;=C$4)*('Comp.'!$B$5:$B$402&lt;=EOMONTH(C$4,0))*('Comp.'!$E$5:$E$402))</f>
        <v>2472</v>
      </c>
      <c r="D155" s="11">
        <f>SUMPRODUCT((Diário!$E$4:$E$2662='Analítico Cp.'!$B155)*(Diário!$C$4:$C$2662&gt;=D$4)*(Diário!$C$4:$C$2662&lt;=EOMONTH(D$4,0))*(Diário!$F$4:$F$2662))
+SUMPRODUCT(('Comp.'!$D$5:$D$402=$B155)*('Comp.'!$B$5:$B$402&gt;=D$4)*('Comp.'!$B$5:$B$402&lt;=EOMONTH(D$4,0))*('Comp.'!$E$5:$E$402))</f>
        <v>5017.16</v>
      </c>
      <c r="E155" s="11">
        <f>SUMPRODUCT((Diário!$E$4:$E$2662='Analítico Cp.'!$B155)*(Diário!$C$4:$C$2662&gt;=E$4)*(Diário!$C$4:$C$2662&lt;=EOMONTH(E$4,0))*(Diário!$F$4:$F$2662))
+SUMPRODUCT(('Comp.'!$D$5:$D$402=$B155)*('Comp.'!$B$5:$B$402&gt;=E$4)*('Comp.'!$B$5:$B$402&lt;=EOMONTH(E$4,0))*('Comp.'!$E$5:$E$402))</f>
        <v>12672</v>
      </c>
      <c r="F155" s="11">
        <f>SUMPRODUCT((Diário!$E$4:$E$2662='Analítico Cp.'!$B155)*(Diário!$C$4:$C$2662&gt;=F$4)*(Diário!$C$4:$C$2662&lt;=EOMONTH(F$4,0))*(Diário!$F$4:$F$2662))
+SUMPRODUCT(('Comp.'!$D$5:$D$402=$B155)*('Comp.'!$B$5:$B$402&gt;=F$4)*('Comp.'!$B$5:$B$402&lt;=EOMONTH(F$4,0))*('Comp.'!$E$5:$E$402))</f>
        <v>5300</v>
      </c>
      <c r="G155" s="11">
        <f>SUMPRODUCT((Diário!$E$4:$E$2662='Analítico Cp.'!$B155)*(Diário!$C$4:$C$2662&gt;=G$4)*(Diário!$C$4:$C$2662&lt;=EOMONTH(G$4,0))*(Diário!$F$4:$F$2662))
+SUMPRODUCT(('Comp.'!$D$5:$D$402=$B155)*('Comp.'!$B$5:$B$402&gt;=G$4)*('Comp.'!$B$5:$B$402&lt;=EOMONTH(G$4,0))*('Comp.'!$E$5:$E$402))</f>
        <v>3172</v>
      </c>
      <c r="H155" s="11">
        <f>SUMPRODUCT((Diário!$E$4:$E$2662='Analítico Cp.'!$B155)*(Diário!$C$4:$C$2662&gt;=H$4)*(Diário!$C$4:$C$2662&lt;=EOMONTH(H$4,0))*(Diário!$F$4:$F$2662))
+SUMPRODUCT(('Comp.'!$D$5:$D$402=$B155)*('Comp.'!$B$5:$B$402&gt;=H$4)*('Comp.'!$B$5:$B$402&lt;=EOMONTH(H$4,0))*('Comp.'!$E$5:$E$402))</f>
        <v>20617.559999999998</v>
      </c>
      <c r="I155" s="11">
        <f>SUMPRODUCT((Diário!$E$4:$E$2662='Analítico Cp.'!$B155)*(Diário!$C$4:$C$2662&gt;=I$4)*(Diário!$C$4:$C$2662&lt;=EOMONTH(I$4,0))*(Diário!$F$4:$F$2662))
+SUMPRODUCT(('Comp.'!$D$5:$D$402=$B155)*('Comp.'!$B$5:$B$402&gt;=I$4)*('Comp.'!$B$5:$B$402&lt;=EOMONTH(I$4,0))*('Comp.'!$E$5:$E$402))</f>
        <v>0</v>
      </c>
      <c r="J155" s="11">
        <f>SUMPRODUCT((Diário!$E$4:$E$2662='Analítico Cp.'!$B155)*(Diário!$C$4:$C$2662&gt;=J$4)*(Diário!$C$4:$C$2662&lt;=EOMONTH(J$4,0))*(Diário!$F$4:$F$2662))
+SUMPRODUCT(('Comp.'!$D$5:$D$402=$B155)*('Comp.'!$B$5:$B$402&gt;=J$4)*('Comp.'!$B$5:$B$402&lt;=EOMONTH(J$4,0))*('Comp.'!$E$5:$E$402))</f>
        <v>0</v>
      </c>
      <c r="K155" s="11">
        <f>SUMPRODUCT((Diário!$E$4:$E$2662='Analítico Cp.'!$B155)*(Diário!$C$4:$C$2662&gt;=K$4)*(Diário!$C$4:$C$2662&lt;=EOMONTH(K$4,0))*(Diário!$F$4:$F$2662))
+SUMPRODUCT(('Comp.'!$D$5:$D$402=$B155)*('Comp.'!$B$5:$B$402&gt;=K$4)*('Comp.'!$B$5:$B$402&lt;=EOMONTH(K$4,0))*('Comp.'!$E$5:$E$402))</f>
        <v>0</v>
      </c>
      <c r="L155" s="11">
        <f>SUMPRODUCT((Diário!$E$4:$E$2662='Analítico Cp.'!$B155)*(Diário!$C$4:$C$2662&gt;=L$4)*(Diário!$C$4:$C$2662&lt;=EOMONTH(L$4,0))*(Diário!$F$4:$F$2662))
+SUMPRODUCT(('Comp.'!$D$5:$D$402=$B155)*('Comp.'!$B$5:$B$402&gt;=L$4)*('Comp.'!$B$5:$B$402&lt;=EOMONTH(L$4,0))*('Comp.'!$E$5:$E$402))</f>
        <v>0</v>
      </c>
      <c r="M155" s="11">
        <f>SUMPRODUCT((Diário!$E$4:$E$2662='Analítico Cp.'!$B155)*(Diário!$C$4:$C$2662&gt;=M$4)*(Diário!$C$4:$C$2662&lt;=EOMONTH(M$4,0))*(Diário!$F$4:$F$2662))
+SUMPRODUCT(('Comp.'!$D$5:$D$402=$B155)*('Comp.'!$B$5:$B$402&gt;=M$4)*('Comp.'!$B$5:$B$402&lt;=EOMONTH(M$4,0))*('Comp.'!$E$5:$E$402))</f>
        <v>0</v>
      </c>
      <c r="N155" s="11">
        <f>SUMPRODUCT((Diário!$E$4:$E$2662='Analítico Cp.'!$B155)*(Diário!$C$4:$C$2662&gt;=N$4)*(Diário!$C$4:$C$2662&lt;=EOMONTH(N$4,0))*(Diário!$F$4:$F$2662))
+SUMPRODUCT(('Comp.'!$D$5:$D$402=$B155)*('Comp.'!$B$5:$B$402&gt;=N$4)*('Comp.'!$B$5:$B$402&lt;=EOMONTH(N$4,0))*('Comp.'!$E$5:$E$402))</f>
        <v>0</v>
      </c>
      <c r="O155" s="12">
        <f t="shared" si="16"/>
        <v>49250.720000000001</v>
      </c>
      <c r="P155" s="95">
        <f t="shared" si="17"/>
        <v>2.4665181800234658E-3</v>
      </c>
    </row>
    <row r="156" spans="1:16" ht="23.25" customHeight="1">
      <c r="A156" s="40" t="s">
        <v>546</v>
      </c>
      <c r="B156" s="60" t="s">
        <v>493</v>
      </c>
      <c r="C156" s="11">
        <f>SUMPRODUCT((Diário!$E$4:$E$2662='Analítico Cp.'!$B156)*(Diário!$C$4:$C$2662&gt;=C$4)*(Diário!$C$4:$C$2662&lt;=EOMONTH(C$4,0))*(Diário!$F$4:$F$2662))
+SUMPRODUCT(('Comp.'!$D$5:$D$402=$B156)*('Comp.'!$B$5:$B$402&gt;=C$4)*('Comp.'!$B$5:$B$402&lt;=EOMONTH(C$4,0))*('Comp.'!$E$5:$E$402))</f>
        <v>324</v>
      </c>
      <c r="D156" s="11">
        <f>SUMPRODUCT((Diário!$E$4:$E$2662='Analítico Cp.'!$B156)*(Diário!$C$4:$C$2662&gt;=D$4)*(Diário!$C$4:$C$2662&lt;=EOMONTH(D$4,0))*(Diário!$F$4:$F$2662))
+SUMPRODUCT(('Comp.'!$D$5:$D$402=$B156)*('Comp.'!$B$5:$B$402&gt;=D$4)*('Comp.'!$B$5:$B$402&lt;=EOMONTH(D$4,0))*('Comp.'!$E$5:$E$402))</f>
        <v>0</v>
      </c>
      <c r="E156" s="11">
        <f>SUMPRODUCT((Diário!$E$4:$E$2662='Analítico Cp.'!$B156)*(Diário!$C$4:$C$2662&gt;=E$4)*(Diário!$C$4:$C$2662&lt;=EOMONTH(E$4,0))*(Diário!$F$4:$F$2662))
+SUMPRODUCT(('Comp.'!$D$5:$D$402=$B156)*('Comp.'!$B$5:$B$402&gt;=E$4)*('Comp.'!$B$5:$B$402&lt;=EOMONTH(E$4,0))*('Comp.'!$E$5:$E$402))</f>
        <v>795.5</v>
      </c>
      <c r="F156" s="11">
        <f>SUMPRODUCT((Diário!$E$4:$E$2662='Analítico Cp.'!$B156)*(Diário!$C$4:$C$2662&gt;=F$4)*(Diário!$C$4:$C$2662&lt;=EOMONTH(F$4,0))*(Diário!$F$4:$F$2662))
+SUMPRODUCT(('Comp.'!$D$5:$D$402=$B156)*('Comp.'!$B$5:$B$402&gt;=F$4)*('Comp.'!$B$5:$B$402&lt;=EOMONTH(F$4,0))*('Comp.'!$E$5:$E$402))</f>
        <v>0</v>
      </c>
      <c r="G156" s="11">
        <f>SUMPRODUCT((Diário!$E$4:$E$2662='Analítico Cp.'!$B156)*(Diário!$C$4:$C$2662&gt;=G$4)*(Diário!$C$4:$C$2662&lt;=EOMONTH(G$4,0))*(Diário!$F$4:$F$2662))
+SUMPRODUCT(('Comp.'!$D$5:$D$402=$B156)*('Comp.'!$B$5:$B$402&gt;=G$4)*('Comp.'!$B$5:$B$402&lt;=EOMONTH(G$4,0))*('Comp.'!$E$5:$E$402))</f>
        <v>0</v>
      </c>
      <c r="H156" s="11">
        <f>SUMPRODUCT((Diário!$E$4:$E$2662='Analítico Cp.'!$B156)*(Diário!$C$4:$C$2662&gt;=H$4)*(Diário!$C$4:$C$2662&lt;=EOMONTH(H$4,0))*(Diário!$F$4:$F$2662))
+SUMPRODUCT(('Comp.'!$D$5:$D$402=$B156)*('Comp.'!$B$5:$B$402&gt;=H$4)*('Comp.'!$B$5:$B$402&lt;=EOMONTH(H$4,0))*('Comp.'!$E$5:$E$402))</f>
        <v>0</v>
      </c>
      <c r="I156" s="11">
        <f>SUMPRODUCT((Diário!$E$4:$E$2662='Analítico Cp.'!$B156)*(Diário!$C$4:$C$2662&gt;=I$4)*(Diário!$C$4:$C$2662&lt;=EOMONTH(I$4,0))*(Diário!$F$4:$F$2662))
+SUMPRODUCT(('Comp.'!$D$5:$D$402=$B156)*('Comp.'!$B$5:$B$402&gt;=I$4)*('Comp.'!$B$5:$B$402&lt;=EOMONTH(I$4,0))*('Comp.'!$E$5:$E$402))</f>
        <v>0</v>
      </c>
      <c r="J156" s="11">
        <f>SUMPRODUCT((Diário!$E$4:$E$2662='Analítico Cp.'!$B156)*(Diário!$C$4:$C$2662&gt;=J$4)*(Diário!$C$4:$C$2662&lt;=EOMONTH(J$4,0))*(Diário!$F$4:$F$2662))
+SUMPRODUCT(('Comp.'!$D$5:$D$402=$B156)*('Comp.'!$B$5:$B$402&gt;=J$4)*('Comp.'!$B$5:$B$402&lt;=EOMONTH(J$4,0))*('Comp.'!$E$5:$E$402))</f>
        <v>0</v>
      </c>
      <c r="K156" s="11">
        <f>SUMPRODUCT((Diário!$E$4:$E$2662='Analítico Cp.'!$B156)*(Diário!$C$4:$C$2662&gt;=K$4)*(Diário!$C$4:$C$2662&lt;=EOMONTH(K$4,0))*(Diário!$F$4:$F$2662))
+SUMPRODUCT(('Comp.'!$D$5:$D$402=$B156)*('Comp.'!$B$5:$B$402&gt;=K$4)*('Comp.'!$B$5:$B$402&lt;=EOMONTH(K$4,0))*('Comp.'!$E$5:$E$402))</f>
        <v>0</v>
      </c>
      <c r="L156" s="11">
        <f>SUMPRODUCT((Diário!$E$4:$E$2662='Analítico Cp.'!$B156)*(Diário!$C$4:$C$2662&gt;=L$4)*(Diário!$C$4:$C$2662&lt;=EOMONTH(L$4,0))*(Diário!$F$4:$F$2662))
+SUMPRODUCT(('Comp.'!$D$5:$D$402=$B156)*('Comp.'!$B$5:$B$402&gt;=L$4)*('Comp.'!$B$5:$B$402&lt;=EOMONTH(L$4,0))*('Comp.'!$E$5:$E$402))</f>
        <v>0</v>
      </c>
      <c r="M156" s="11">
        <f>SUMPRODUCT((Diário!$E$4:$E$2662='Analítico Cp.'!$B156)*(Diário!$C$4:$C$2662&gt;=M$4)*(Diário!$C$4:$C$2662&lt;=EOMONTH(M$4,0))*(Diário!$F$4:$F$2662))
+SUMPRODUCT(('Comp.'!$D$5:$D$402=$B156)*('Comp.'!$B$5:$B$402&gt;=M$4)*('Comp.'!$B$5:$B$402&lt;=EOMONTH(M$4,0))*('Comp.'!$E$5:$E$402))</f>
        <v>0</v>
      </c>
      <c r="N156" s="11">
        <f>SUMPRODUCT((Diário!$E$4:$E$2662='Analítico Cp.'!$B156)*(Diário!$C$4:$C$2662&gt;=N$4)*(Diário!$C$4:$C$2662&lt;=EOMONTH(N$4,0))*(Diário!$F$4:$F$2662))
+SUMPRODUCT(('Comp.'!$D$5:$D$402=$B156)*('Comp.'!$B$5:$B$402&gt;=N$4)*('Comp.'!$B$5:$B$402&lt;=EOMONTH(N$4,0))*('Comp.'!$E$5:$E$402))</f>
        <v>0</v>
      </c>
      <c r="O156" s="12">
        <f t="shared" si="16"/>
        <v>1119.5</v>
      </c>
      <c r="P156" s="95">
        <f t="shared" si="17"/>
        <v>5.606551746931354E-5</v>
      </c>
    </row>
    <row r="157" spans="1:16" ht="23.25" customHeight="1">
      <c r="A157" s="40" t="s">
        <v>547</v>
      </c>
      <c r="B157" s="60" t="s">
        <v>494</v>
      </c>
      <c r="C157" s="11">
        <f>SUMPRODUCT((Diário!$E$4:$E$2662='Analítico Cp.'!$B157)*(Diário!$C$4:$C$2662&gt;=C$4)*(Diário!$C$4:$C$2662&lt;=EOMONTH(C$4,0))*(Diário!$F$4:$F$2662))
+SUMPRODUCT(('Comp.'!$D$5:$D$402=$B157)*('Comp.'!$B$5:$B$402&gt;=C$4)*('Comp.'!$B$5:$B$402&lt;=EOMONTH(C$4,0))*('Comp.'!$E$5:$E$402))</f>
        <v>0</v>
      </c>
      <c r="D157" s="11">
        <f>SUMPRODUCT((Diário!$E$4:$E$2662='Analítico Cp.'!$B157)*(Diário!$C$4:$C$2662&gt;=D$4)*(Diário!$C$4:$C$2662&lt;=EOMONTH(D$4,0))*(Diário!$F$4:$F$2662))
+SUMPRODUCT(('Comp.'!$D$5:$D$402=$B157)*('Comp.'!$B$5:$B$402&gt;=D$4)*('Comp.'!$B$5:$B$402&lt;=EOMONTH(D$4,0))*('Comp.'!$E$5:$E$402))</f>
        <v>0</v>
      </c>
      <c r="E157" s="11">
        <f>SUMPRODUCT((Diário!$E$4:$E$2662='Analítico Cp.'!$B157)*(Diário!$C$4:$C$2662&gt;=E$4)*(Diário!$C$4:$C$2662&lt;=EOMONTH(E$4,0))*(Diário!$F$4:$F$2662))
+SUMPRODUCT(('Comp.'!$D$5:$D$402=$B157)*('Comp.'!$B$5:$B$402&gt;=E$4)*('Comp.'!$B$5:$B$402&lt;=EOMONTH(E$4,0))*('Comp.'!$E$5:$E$402))</f>
        <v>4716</v>
      </c>
      <c r="F157" s="11">
        <f>SUMPRODUCT((Diário!$E$4:$E$2662='Analítico Cp.'!$B157)*(Diário!$C$4:$C$2662&gt;=F$4)*(Diário!$C$4:$C$2662&lt;=EOMONTH(F$4,0))*(Diário!$F$4:$F$2662))
+SUMPRODUCT(('Comp.'!$D$5:$D$402=$B157)*('Comp.'!$B$5:$B$402&gt;=F$4)*('Comp.'!$B$5:$B$402&lt;=EOMONTH(F$4,0))*('Comp.'!$E$5:$E$402))</f>
        <v>35108</v>
      </c>
      <c r="G157" s="11">
        <f>SUMPRODUCT((Diário!$E$4:$E$2662='Analítico Cp.'!$B157)*(Diário!$C$4:$C$2662&gt;=G$4)*(Diário!$C$4:$C$2662&lt;=EOMONTH(G$4,0))*(Diário!$F$4:$F$2662))
+SUMPRODUCT(('Comp.'!$D$5:$D$402=$B157)*('Comp.'!$B$5:$B$402&gt;=G$4)*('Comp.'!$B$5:$B$402&lt;=EOMONTH(G$4,0))*('Comp.'!$E$5:$E$402))</f>
        <v>41658</v>
      </c>
      <c r="H157" s="11">
        <f>SUMPRODUCT((Diário!$E$4:$E$2662='Analítico Cp.'!$B157)*(Diário!$C$4:$C$2662&gt;=H$4)*(Diário!$C$4:$C$2662&lt;=EOMONTH(H$4,0))*(Diário!$F$4:$F$2662))
+SUMPRODUCT(('Comp.'!$D$5:$D$402=$B157)*('Comp.'!$B$5:$B$402&gt;=H$4)*('Comp.'!$B$5:$B$402&lt;=EOMONTH(H$4,0))*('Comp.'!$E$5:$E$402))</f>
        <v>94375.56</v>
      </c>
      <c r="I157" s="11">
        <f>SUMPRODUCT((Diário!$E$4:$E$2662='Analítico Cp.'!$B157)*(Diário!$C$4:$C$2662&gt;=I$4)*(Diário!$C$4:$C$2662&lt;=EOMONTH(I$4,0))*(Diário!$F$4:$F$2662))
+SUMPRODUCT(('Comp.'!$D$5:$D$402=$B157)*('Comp.'!$B$5:$B$402&gt;=I$4)*('Comp.'!$B$5:$B$402&lt;=EOMONTH(I$4,0))*('Comp.'!$E$5:$E$402))</f>
        <v>0</v>
      </c>
      <c r="J157" s="11">
        <f>SUMPRODUCT((Diário!$E$4:$E$2662='Analítico Cp.'!$B157)*(Diário!$C$4:$C$2662&gt;=J$4)*(Diário!$C$4:$C$2662&lt;=EOMONTH(J$4,0))*(Diário!$F$4:$F$2662))
+SUMPRODUCT(('Comp.'!$D$5:$D$402=$B157)*('Comp.'!$B$5:$B$402&gt;=J$4)*('Comp.'!$B$5:$B$402&lt;=EOMONTH(J$4,0))*('Comp.'!$E$5:$E$402))</f>
        <v>0</v>
      </c>
      <c r="K157" s="11">
        <f>SUMPRODUCT((Diário!$E$4:$E$2662='Analítico Cp.'!$B157)*(Diário!$C$4:$C$2662&gt;=K$4)*(Diário!$C$4:$C$2662&lt;=EOMONTH(K$4,0))*(Diário!$F$4:$F$2662))
+SUMPRODUCT(('Comp.'!$D$5:$D$402=$B157)*('Comp.'!$B$5:$B$402&gt;=K$4)*('Comp.'!$B$5:$B$402&lt;=EOMONTH(K$4,0))*('Comp.'!$E$5:$E$402))</f>
        <v>0</v>
      </c>
      <c r="L157" s="11">
        <f>SUMPRODUCT((Diário!$E$4:$E$2662='Analítico Cp.'!$B157)*(Diário!$C$4:$C$2662&gt;=L$4)*(Diário!$C$4:$C$2662&lt;=EOMONTH(L$4,0))*(Diário!$F$4:$F$2662))
+SUMPRODUCT(('Comp.'!$D$5:$D$402=$B157)*('Comp.'!$B$5:$B$402&gt;=L$4)*('Comp.'!$B$5:$B$402&lt;=EOMONTH(L$4,0))*('Comp.'!$E$5:$E$402))</f>
        <v>0</v>
      </c>
      <c r="M157" s="11">
        <f>SUMPRODUCT((Diário!$E$4:$E$2662='Analítico Cp.'!$B157)*(Diário!$C$4:$C$2662&gt;=M$4)*(Diário!$C$4:$C$2662&lt;=EOMONTH(M$4,0))*(Diário!$F$4:$F$2662))
+SUMPRODUCT(('Comp.'!$D$5:$D$402=$B157)*('Comp.'!$B$5:$B$402&gt;=M$4)*('Comp.'!$B$5:$B$402&lt;=EOMONTH(M$4,0))*('Comp.'!$E$5:$E$402))</f>
        <v>0</v>
      </c>
      <c r="N157" s="11">
        <f>SUMPRODUCT((Diário!$E$4:$E$2662='Analítico Cp.'!$B157)*(Diário!$C$4:$C$2662&gt;=N$4)*(Diário!$C$4:$C$2662&lt;=EOMONTH(N$4,0))*(Diário!$F$4:$F$2662))
+SUMPRODUCT(('Comp.'!$D$5:$D$402=$B157)*('Comp.'!$B$5:$B$402&gt;=N$4)*('Comp.'!$B$5:$B$402&lt;=EOMONTH(N$4,0))*('Comp.'!$E$5:$E$402))</f>
        <v>0</v>
      </c>
      <c r="O157" s="12">
        <f t="shared" si="16"/>
        <v>175857.56</v>
      </c>
      <c r="P157" s="95">
        <f t="shared" si="17"/>
        <v>8.8070970096389943E-3</v>
      </c>
    </row>
    <row r="158" spans="1:16" ht="23.25" customHeight="1">
      <c r="A158" s="40" t="s">
        <v>548</v>
      </c>
      <c r="B158" s="60" t="s">
        <v>495</v>
      </c>
      <c r="C158" s="11">
        <f>SUMPRODUCT((Diário!$E$4:$E$2662='Analítico Cp.'!$B158)*(Diário!$C$4:$C$2662&gt;=C$4)*(Diário!$C$4:$C$2662&lt;=EOMONTH(C$4,0))*(Diário!$F$4:$F$2662))
+SUMPRODUCT(('Comp.'!$D$5:$D$402=$B158)*('Comp.'!$B$5:$B$402&gt;=C$4)*('Comp.'!$B$5:$B$402&lt;=EOMONTH(C$4,0))*('Comp.'!$E$5:$E$402))</f>
        <v>14614.08</v>
      </c>
      <c r="D158" s="11">
        <f>SUMPRODUCT((Diário!$E$4:$E$2662='Analítico Cp.'!$B158)*(Diário!$C$4:$C$2662&gt;=D$4)*(Diário!$C$4:$C$2662&lt;=EOMONTH(D$4,0))*(Diário!$F$4:$F$2662))
+SUMPRODUCT(('Comp.'!$D$5:$D$402=$B158)*('Comp.'!$B$5:$B$402&gt;=D$4)*('Comp.'!$B$5:$B$402&lt;=EOMONTH(D$4,0))*('Comp.'!$E$5:$E$402))</f>
        <v>11424.32</v>
      </c>
      <c r="E158" s="11">
        <f>SUMPRODUCT((Diário!$E$4:$E$2662='Analítico Cp.'!$B158)*(Diário!$C$4:$C$2662&gt;=E$4)*(Diário!$C$4:$C$2662&lt;=EOMONTH(E$4,0))*(Diário!$F$4:$F$2662))
+SUMPRODUCT(('Comp.'!$D$5:$D$402=$B158)*('Comp.'!$B$5:$B$402&gt;=E$4)*('Comp.'!$B$5:$B$402&lt;=EOMONTH(E$4,0))*('Comp.'!$E$5:$E$402))</f>
        <v>16869.650000000001</v>
      </c>
      <c r="F158" s="11">
        <f>SUMPRODUCT((Diário!$E$4:$E$2662='Analítico Cp.'!$B158)*(Diário!$C$4:$C$2662&gt;=F$4)*(Diário!$C$4:$C$2662&lt;=EOMONTH(F$4,0))*(Diário!$F$4:$F$2662))
+SUMPRODUCT(('Comp.'!$D$5:$D$402=$B158)*('Comp.'!$B$5:$B$402&gt;=F$4)*('Comp.'!$B$5:$B$402&lt;=EOMONTH(F$4,0))*('Comp.'!$E$5:$E$402))</f>
        <v>22306.610000000004</v>
      </c>
      <c r="G158" s="11">
        <f>SUMPRODUCT((Diário!$E$4:$E$2662='Analítico Cp.'!$B158)*(Diário!$C$4:$C$2662&gt;=G$4)*(Diário!$C$4:$C$2662&lt;=EOMONTH(G$4,0))*(Diário!$F$4:$F$2662))
+SUMPRODUCT(('Comp.'!$D$5:$D$402=$B158)*('Comp.'!$B$5:$B$402&gt;=G$4)*('Comp.'!$B$5:$B$402&lt;=EOMONTH(G$4,0))*('Comp.'!$E$5:$E$402))</f>
        <v>91598.05</v>
      </c>
      <c r="H158" s="11">
        <f>SUMPRODUCT((Diário!$E$4:$E$2662='Analítico Cp.'!$B158)*(Diário!$C$4:$C$2662&gt;=H$4)*(Diário!$C$4:$C$2662&lt;=EOMONTH(H$4,0))*(Diário!$F$4:$F$2662))
+SUMPRODUCT(('Comp.'!$D$5:$D$402=$B158)*('Comp.'!$B$5:$B$402&gt;=H$4)*('Comp.'!$B$5:$B$402&lt;=EOMONTH(H$4,0))*('Comp.'!$E$5:$E$402))</f>
        <v>23527.390000000003</v>
      </c>
      <c r="I158" s="11">
        <f>SUMPRODUCT((Diário!$E$4:$E$2662='Analítico Cp.'!$B158)*(Diário!$C$4:$C$2662&gt;=I$4)*(Diário!$C$4:$C$2662&lt;=EOMONTH(I$4,0))*(Diário!$F$4:$F$2662))
+SUMPRODUCT(('Comp.'!$D$5:$D$402=$B158)*('Comp.'!$B$5:$B$402&gt;=I$4)*('Comp.'!$B$5:$B$402&lt;=EOMONTH(I$4,0))*('Comp.'!$E$5:$E$402))</f>
        <v>97545.36</v>
      </c>
      <c r="J158" s="11">
        <f>SUMPRODUCT((Diário!$E$4:$E$2662='Analítico Cp.'!$B158)*(Diário!$C$4:$C$2662&gt;=J$4)*(Diário!$C$4:$C$2662&lt;=EOMONTH(J$4,0))*(Diário!$F$4:$F$2662))
+SUMPRODUCT(('Comp.'!$D$5:$D$402=$B158)*('Comp.'!$B$5:$B$402&gt;=J$4)*('Comp.'!$B$5:$B$402&lt;=EOMONTH(J$4,0))*('Comp.'!$E$5:$E$402))</f>
        <v>0</v>
      </c>
      <c r="K158" s="11">
        <f>SUMPRODUCT((Diário!$E$4:$E$2662='Analítico Cp.'!$B158)*(Diário!$C$4:$C$2662&gt;=K$4)*(Diário!$C$4:$C$2662&lt;=EOMONTH(K$4,0))*(Diário!$F$4:$F$2662))
+SUMPRODUCT(('Comp.'!$D$5:$D$402=$B158)*('Comp.'!$B$5:$B$402&gt;=K$4)*('Comp.'!$B$5:$B$402&lt;=EOMONTH(K$4,0))*('Comp.'!$E$5:$E$402))</f>
        <v>0</v>
      </c>
      <c r="L158" s="11">
        <f>SUMPRODUCT((Diário!$E$4:$E$2662='Analítico Cp.'!$B158)*(Diário!$C$4:$C$2662&gt;=L$4)*(Diário!$C$4:$C$2662&lt;=EOMONTH(L$4,0))*(Diário!$F$4:$F$2662))
+SUMPRODUCT(('Comp.'!$D$5:$D$402=$B158)*('Comp.'!$B$5:$B$402&gt;=L$4)*('Comp.'!$B$5:$B$402&lt;=EOMONTH(L$4,0))*('Comp.'!$E$5:$E$402))</f>
        <v>0</v>
      </c>
      <c r="M158" s="11">
        <f>SUMPRODUCT((Diário!$E$4:$E$2662='Analítico Cp.'!$B158)*(Diário!$C$4:$C$2662&gt;=M$4)*(Diário!$C$4:$C$2662&lt;=EOMONTH(M$4,0))*(Diário!$F$4:$F$2662))
+SUMPRODUCT(('Comp.'!$D$5:$D$402=$B158)*('Comp.'!$B$5:$B$402&gt;=M$4)*('Comp.'!$B$5:$B$402&lt;=EOMONTH(M$4,0))*('Comp.'!$E$5:$E$402))</f>
        <v>0</v>
      </c>
      <c r="N158" s="11">
        <f>SUMPRODUCT((Diário!$E$4:$E$2662='Analítico Cp.'!$B158)*(Diário!$C$4:$C$2662&gt;=N$4)*(Diário!$C$4:$C$2662&lt;=EOMONTH(N$4,0))*(Diário!$F$4:$F$2662))
+SUMPRODUCT(('Comp.'!$D$5:$D$402=$B158)*('Comp.'!$B$5:$B$402&gt;=N$4)*('Comp.'!$B$5:$B$402&lt;=EOMONTH(N$4,0))*('Comp.'!$E$5:$E$402))</f>
        <v>0</v>
      </c>
      <c r="O158" s="12">
        <f t="shared" si="16"/>
        <v>277885.46000000002</v>
      </c>
      <c r="P158" s="95">
        <f t="shared" si="17"/>
        <v>1.3916741502544199E-2</v>
      </c>
    </row>
    <row r="159" spans="1:16" ht="23.25" customHeight="1">
      <c r="A159" s="40" t="s">
        <v>549</v>
      </c>
      <c r="B159" s="60" t="s">
        <v>496</v>
      </c>
      <c r="C159" s="11">
        <f>SUMPRODUCT((Diário!$E$4:$E$2662='Analítico Cp.'!$B159)*(Diário!$C$4:$C$2662&gt;=C$4)*(Diário!$C$4:$C$2662&lt;=EOMONTH(C$4,0))*(Diário!$F$4:$F$2662))
+SUMPRODUCT(('Comp.'!$D$5:$D$402=$B159)*('Comp.'!$B$5:$B$402&gt;=C$4)*('Comp.'!$B$5:$B$402&lt;=EOMONTH(C$4,0))*('Comp.'!$E$5:$E$402))</f>
        <v>0</v>
      </c>
      <c r="D159" s="11">
        <f>SUMPRODUCT((Diário!$E$4:$E$2662='Analítico Cp.'!$B159)*(Diário!$C$4:$C$2662&gt;=D$4)*(Diário!$C$4:$C$2662&lt;=EOMONTH(D$4,0))*(Diário!$F$4:$F$2662))
+SUMPRODUCT(('Comp.'!$D$5:$D$402=$B159)*('Comp.'!$B$5:$B$402&gt;=D$4)*('Comp.'!$B$5:$B$402&lt;=EOMONTH(D$4,0))*('Comp.'!$E$5:$E$402))</f>
        <v>3180.7999999999997</v>
      </c>
      <c r="E159" s="11">
        <f>SUMPRODUCT((Diário!$E$4:$E$2662='Analítico Cp.'!$B159)*(Diário!$C$4:$C$2662&gt;=E$4)*(Diário!$C$4:$C$2662&lt;=EOMONTH(E$4,0))*(Diário!$F$4:$F$2662))
+SUMPRODUCT(('Comp.'!$D$5:$D$402=$B159)*('Comp.'!$B$5:$B$402&gt;=E$4)*('Comp.'!$B$5:$B$402&lt;=EOMONTH(E$4,0))*('Comp.'!$E$5:$E$402))</f>
        <v>11630.109999999995</v>
      </c>
      <c r="F159" s="11">
        <f>SUMPRODUCT((Diário!$E$4:$E$2662='Analítico Cp.'!$B159)*(Diário!$C$4:$C$2662&gt;=F$4)*(Diário!$C$4:$C$2662&lt;=EOMONTH(F$4,0))*(Diário!$F$4:$F$2662))
+SUMPRODUCT(('Comp.'!$D$5:$D$402=$B159)*('Comp.'!$B$5:$B$402&gt;=F$4)*('Comp.'!$B$5:$B$402&lt;=EOMONTH(F$4,0))*('Comp.'!$E$5:$E$402))</f>
        <v>21139.65</v>
      </c>
      <c r="G159" s="11">
        <f>SUMPRODUCT((Diário!$E$4:$E$2662='Analítico Cp.'!$B159)*(Diário!$C$4:$C$2662&gt;=G$4)*(Diário!$C$4:$C$2662&lt;=EOMONTH(G$4,0))*(Diário!$F$4:$F$2662))
+SUMPRODUCT(('Comp.'!$D$5:$D$402=$B159)*('Comp.'!$B$5:$B$402&gt;=G$4)*('Comp.'!$B$5:$B$402&lt;=EOMONTH(G$4,0))*('Comp.'!$E$5:$E$402))</f>
        <v>5846.04</v>
      </c>
      <c r="H159" s="11">
        <f>SUMPRODUCT((Diário!$E$4:$E$2662='Analítico Cp.'!$B159)*(Diário!$C$4:$C$2662&gt;=H$4)*(Diário!$C$4:$C$2662&lt;=EOMONTH(H$4,0))*(Diário!$F$4:$F$2662))
+SUMPRODUCT(('Comp.'!$D$5:$D$402=$B159)*('Comp.'!$B$5:$B$402&gt;=H$4)*('Comp.'!$B$5:$B$402&lt;=EOMONTH(H$4,0))*('Comp.'!$E$5:$E$402))</f>
        <v>6095.43</v>
      </c>
      <c r="I159" s="11">
        <f>SUMPRODUCT((Diário!$E$4:$E$2662='Analítico Cp.'!$B159)*(Diário!$C$4:$C$2662&gt;=I$4)*(Diário!$C$4:$C$2662&lt;=EOMONTH(I$4,0))*(Diário!$F$4:$F$2662))
+SUMPRODUCT(('Comp.'!$D$5:$D$402=$B159)*('Comp.'!$B$5:$B$402&gt;=I$4)*('Comp.'!$B$5:$B$402&lt;=EOMONTH(I$4,0))*('Comp.'!$E$5:$E$402))</f>
        <v>0</v>
      </c>
      <c r="J159" s="11">
        <f>SUMPRODUCT((Diário!$E$4:$E$2662='Analítico Cp.'!$B159)*(Diário!$C$4:$C$2662&gt;=J$4)*(Diário!$C$4:$C$2662&lt;=EOMONTH(J$4,0))*(Diário!$F$4:$F$2662))
+SUMPRODUCT(('Comp.'!$D$5:$D$402=$B159)*('Comp.'!$B$5:$B$402&gt;=J$4)*('Comp.'!$B$5:$B$402&lt;=EOMONTH(J$4,0))*('Comp.'!$E$5:$E$402))</f>
        <v>0</v>
      </c>
      <c r="K159" s="11">
        <f>SUMPRODUCT((Diário!$E$4:$E$2662='Analítico Cp.'!$B159)*(Diário!$C$4:$C$2662&gt;=K$4)*(Diário!$C$4:$C$2662&lt;=EOMONTH(K$4,0))*(Diário!$F$4:$F$2662))
+SUMPRODUCT(('Comp.'!$D$5:$D$402=$B159)*('Comp.'!$B$5:$B$402&gt;=K$4)*('Comp.'!$B$5:$B$402&lt;=EOMONTH(K$4,0))*('Comp.'!$E$5:$E$402))</f>
        <v>0</v>
      </c>
      <c r="L159" s="11">
        <f>SUMPRODUCT((Diário!$E$4:$E$2662='Analítico Cp.'!$B159)*(Diário!$C$4:$C$2662&gt;=L$4)*(Diário!$C$4:$C$2662&lt;=EOMONTH(L$4,0))*(Diário!$F$4:$F$2662))
+SUMPRODUCT(('Comp.'!$D$5:$D$402=$B159)*('Comp.'!$B$5:$B$402&gt;=L$4)*('Comp.'!$B$5:$B$402&lt;=EOMONTH(L$4,0))*('Comp.'!$E$5:$E$402))</f>
        <v>0</v>
      </c>
      <c r="M159" s="11">
        <f>SUMPRODUCT((Diário!$E$4:$E$2662='Analítico Cp.'!$B159)*(Diário!$C$4:$C$2662&gt;=M$4)*(Diário!$C$4:$C$2662&lt;=EOMONTH(M$4,0))*(Diário!$F$4:$F$2662))
+SUMPRODUCT(('Comp.'!$D$5:$D$402=$B159)*('Comp.'!$B$5:$B$402&gt;=M$4)*('Comp.'!$B$5:$B$402&lt;=EOMONTH(M$4,0))*('Comp.'!$E$5:$E$402))</f>
        <v>0</v>
      </c>
      <c r="N159" s="11">
        <f>SUMPRODUCT((Diário!$E$4:$E$2662='Analítico Cp.'!$B159)*(Diário!$C$4:$C$2662&gt;=N$4)*(Diário!$C$4:$C$2662&lt;=EOMONTH(N$4,0))*(Diário!$F$4:$F$2662))
+SUMPRODUCT(('Comp.'!$D$5:$D$402=$B159)*('Comp.'!$B$5:$B$402&gt;=N$4)*('Comp.'!$B$5:$B$402&lt;=EOMONTH(N$4,0))*('Comp.'!$E$5:$E$402))</f>
        <v>0</v>
      </c>
      <c r="O159" s="12">
        <f t="shared" si="16"/>
        <v>47892.03</v>
      </c>
      <c r="P159" s="95">
        <f t="shared" si="17"/>
        <v>2.3984738227832854E-3</v>
      </c>
    </row>
    <row r="160" spans="1:16" ht="23.25" customHeight="1">
      <c r="A160" s="40" t="s">
        <v>550</v>
      </c>
      <c r="B160" s="60" t="s">
        <v>497</v>
      </c>
      <c r="C160" s="11">
        <f>SUMPRODUCT((Diário!$E$4:$E$2662='Analítico Cp.'!$B160)*(Diário!$C$4:$C$2662&gt;=C$4)*(Diário!$C$4:$C$2662&lt;=EOMONTH(C$4,0))*(Diário!$F$4:$F$2662))
+SUMPRODUCT(('Comp.'!$D$5:$D$402=$B160)*('Comp.'!$B$5:$B$402&gt;=C$4)*('Comp.'!$B$5:$B$402&lt;=EOMONTH(C$4,0))*('Comp.'!$E$5:$E$402))</f>
        <v>2746.47</v>
      </c>
      <c r="D160" s="11">
        <f>SUMPRODUCT((Diário!$E$4:$E$2662='Analítico Cp.'!$B160)*(Diário!$C$4:$C$2662&gt;=D$4)*(Diário!$C$4:$C$2662&lt;=EOMONTH(D$4,0))*(Diário!$F$4:$F$2662))
+SUMPRODUCT(('Comp.'!$D$5:$D$402=$B160)*('Comp.'!$B$5:$B$402&gt;=D$4)*('Comp.'!$B$5:$B$402&lt;=EOMONTH(D$4,0))*('Comp.'!$E$5:$E$402))</f>
        <v>2451.92</v>
      </c>
      <c r="E160" s="11">
        <f>SUMPRODUCT((Diário!$E$4:$E$2662='Analítico Cp.'!$B160)*(Diário!$C$4:$C$2662&gt;=E$4)*(Diário!$C$4:$C$2662&lt;=EOMONTH(E$4,0))*(Diário!$F$4:$F$2662))
+SUMPRODUCT(('Comp.'!$D$5:$D$402=$B160)*('Comp.'!$B$5:$B$402&gt;=E$4)*('Comp.'!$B$5:$B$402&lt;=EOMONTH(E$4,0))*('Comp.'!$E$5:$E$402))</f>
        <v>12026.259999999998</v>
      </c>
      <c r="F160" s="11">
        <f>SUMPRODUCT((Diário!$E$4:$E$2662='Analítico Cp.'!$B160)*(Diário!$C$4:$C$2662&gt;=F$4)*(Diário!$C$4:$C$2662&lt;=EOMONTH(F$4,0))*(Diário!$F$4:$F$2662))
+SUMPRODUCT(('Comp.'!$D$5:$D$402=$B160)*('Comp.'!$B$5:$B$402&gt;=F$4)*('Comp.'!$B$5:$B$402&lt;=EOMONTH(F$4,0))*('Comp.'!$E$5:$E$402))</f>
        <v>11750.4</v>
      </c>
      <c r="G160" s="11">
        <f>SUMPRODUCT((Diário!$E$4:$E$2662='Analítico Cp.'!$B160)*(Diário!$C$4:$C$2662&gt;=G$4)*(Diário!$C$4:$C$2662&lt;=EOMONTH(G$4,0))*(Diário!$F$4:$F$2662))
+SUMPRODUCT(('Comp.'!$D$5:$D$402=$B160)*('Comp.'!$B$5:$B$402&gt;=G$4)*('Comp.'!$B$5:$B$402&lt;=EOMONTH(G$4,0))*('Comp.'!$E$5:$E$402))</f>
        <v>6173.72</v>
      </c>
      <c r="H160" s="11">
        <f>SUMPRODUCT((Diário!$E$4:$E$2662='Analítico Cp.'!$B160)*(Diário!$C$4:$C$2662&gt;=H$4)*(Diário!$C$4:$C$2662&lt;=EOMONTH(H$4,0))*(Diário!$F$4:$F$2662))
+SUMPRODUCT(('Comp.'!$D$5:$D$402=$B160)*('Comp.'!$B$5:$B$402&gt;=H$4)*('Comp.'!$B$5:$B$402&lt;=EOMONTH(H$4,0))*('Comp.'!$E$5:$E$402))</f>
        <v>11888.81</v>
      </c>
      <c r="I160" s="11">
        <f>SUMPRODUCT((Diário!$E$4:$E$2662='Analítico Cp.'!$B160)*(Diário!$C$4:$C$2662&gt;=I$4)*(Diário!$C$4:$C$2662&lt;=EOMONTH(I$4,0))*(Diário!$F$4:$F$2662))
+SUMPRODUCT(('Comp.'!$D$5:$D$402=$B160)*('Comp.'!$B$5:$B$402&gt;=I$4)*('Comp.'!$B$5:$B$402&lt;=EOMONTH(I$4,0))*('Comp.'!$E$5:$E$402))</f>
        <v>0</v>
      </c>
      <c r="J160" s="11">
        <f>SUMPRODUCT((Diário!$E$4:$E$2662='Analítico Cp.'!$B160)*(Diário!$C$4:$C$2662&gt;=J$4)*(Diário!$C$4:$C$2662&lt;=EOMONTH(J$4,0))*(Diário!$F$4:$F$2662))
+SUMPRODUCT(('Comp.'!$D$5:$D$402=$B160)*('Comp.'!$B$5:$B$402&gt;=J$4)*('Comp.'!$B$5:$B$402&lt;=EOMONTH(J$4,0))*('Comp.'!$E$5:$E$402))</f>
        <v>0</v>
      </c>
      <c r="K160" s="11">
        <f>SUMPRODUCT((Diário!$E$4:$E$2662='Analítico Cp.'!$B160)*(Diário!$C$4:$C$2662&gt;=K$4)*(Diário!$C$4:$C$2662&lt;=EOMONTH(K$4,0))*(Diário!$F$4:$F$2662))
+SUMPRODUCT(('Comp.'!$D$5:$D$402=$B160)*('Comp.'!$B$5:$B$402&gt;=K$4)*('Comp.'!$B$5:$B$402&lt;=EOMONTH(K$4,0))*('Comp.'!$E$5:$E$402))</f>
        <v>0</v>
      </c>
      <c r="L160" s="11">
        <f>SUMPRODUCT((Diário!$E$4:$E$2662='Analítico Cp.'!$B160)*(Diário!$C$4:$C$2662&gt;=L$4)*(Diário!$C$4:$C$2662&lt;=EOMONTH(L$4,0))*(Diário!$F$4:$F$2662))
+SUMPRODUCT(('Comp.'!$D$5:$D$402=$B160)*('Comp.'!$B$5:$B$402&gt;=L$4)*('Comp.'!$B$5:$B$402&lt;=EOMONTH(L$4,0))*('Comp.'!$E$5:$E$402))</f>
        <v>0</v>
      </c>
      <c r="M160" s="11">
        <f>SUMPRODUCT((Diário!$E$4:$E$2662='Analítico Cp.'!$B160)*(Diário!$C$4:$C$2662&gt;=M$4)*(Diário!$C$4:$C$2662&lt;=EOMONTH(M$4,0))*(Diário!$F$4:$F$2662))
+SUMPRODUCT(('Comp.'!$D$5:$D$402=$B160)*('Comp.'!$B$5:$B$402&gt;=M$4)*('Comp.'!$B$5:$B$402&lt;=EOMONTH(M$4,0))*('Comp.'!$E$5:$E$402))</f>
        <v>0</v>
      </c>
      <c r="N160" s="11">
        <f>SUMPRODUCT((Diário!$E$4:$E$2662='Analítico Cp.'!$B160)*(Diário!$C$4:$C$2662&gt;=N$4)*(Diário!$C$4:$C$2662&lt;=EOMONTH(N$4,0))*(Diário!$F$4:$F$2662))
+SUMPRODUCT(('Comp.'!$D$5:$D$402=$B160)*('Comp.'!$B$5:$B$402&gt;=N$4)*('Comp.'!$B$5:$B$402&lt;=EOMONTH(N$4,0))*('Comp.'!$E$5:$E$402))</f>
        <v>0</v>
      </c>
      <c r="O160" s="12">
        <f t="shared" si="16"/>
        <v>47037.579999999994</v>
      </c>
      <c r="P160" s="95">
        <f t="shared" si="17"/>
        <v>2.3556822360019944E-3</v>
      </c>
    </row>
    <row r="161" spans="1:16" ht="23.25" customHeight="1">
      <c r="A161" s="40" t="s">
        <v>551</v>
      </c>
      <c r="B161" s="60" t="s">
        <v>498</v>
      </c>
      <c r="C161" s="11">
        <f>SUMPRODUCT((Diário!$E$4:$E$2662='Analítico Cp.'!$B161)*(Diário!$C$4:$C$2662&gt;=C$4)*(Diário!$C$4:$C$2662&lt;=EOMONTH(C$4,0))*(Diário!$F$4:$F$2662))
+SUMPRODUCT(('Comp.'!$D$5:$D$402=$B161)*('Comp.'!$B$5:$B$402&gt;=C$4)*('Comp.'!$B$5:$B$402&lt;=EOMONTH(C$4,0))*('Comp.'!$E$5:$E$402))</f>
        <v>354.57</v>
      </c>
      <c r="D161" s="11">
        <f>SUMPRODUCT((Diário!$E$4:$E$2662='Analítico Cp.'!$B161)*(Diário!$C$4:$C$2662&gt;=D$4)*(Diário!$C$4:$C$2662&lt;=EOMONTH(D$4,0))*(Diário!$F$4:$F$2662))
+SUMPRODUCT(('Comp.'!$D$5:$D$402=$B161)*('Comp.'!$B$5:$B$402&gt;=D$4)*('Comp.'!$B$5:$B$402&lt;=EOMONTH(D$4,0))*('Comp.'!$E$5:$E$402))</f>
        <v>30371.4</v>
      </c>
      <c r="E161" s="11">
        <f>SUMPRODUCT((Diário!$E$4:$E$2662='Analítico Cp.'!$B161)*(Diário!$C$4:$C$2662&gt;=E$4)*(Diário!$C$4:$C$2662&lt;=EOMONTH(E$4,0))*(Diário!$F$4:$F$2662))
+SUMPRODUCT(('Comp.'!$D$5:$D$402=$B161)*('Comp.'!$B$5:$B$402&gt;=E$4)*('Comp.'!$B$5:$B$402&lt;=EOMONTH(E$4,0))*('Comp.'!$E$5:$E$402))</f>
        <v>94941.53</v>
      </c>
      <c r="F161" s="11">
        <f>SUMPRODUCT((Diário!$E$4:$E$2662='Analítico Cp.'!$B161)*(Diário!$C$4:$C$2662&gt;=F$4)*(Diário!$C$4:$C$2662&lt;=EOMONTH(F$4,0))*(Diário!$F$4:$F$2662))
+SUMPRODUCT(('Comp.'!$D$5:$D$402=$B161)*('Comp.'!$B$5:$B$402&gt;=F$4)*('Comp.'!$B$5:$B$402&lt;=EOMONTH(F$4,0))*('Comp.'!$E$5:$E$402))</f>
        <v>39383.520000000011</v>
      </c>
      <c r="G161" s="11">
        <f>SUMPRODUCT((Diário!$E$4:$E$2662='Analítico Cp.'!$B161)*(Diário!$C$4:$C$2662&gt;=G$4)*(Diário!$C$4:$C$2662&lt;=EOMONTH(G$4,0))*(Diário!$F$4:$F$2662))
+SUMPRODUCT(('Comp.'!$D$5:$D$402=$B161)*('Comp.'!$B$5:$B$402&gt;=G$4)*('Comp.'!$B$5:$B$402&lt;=EOMONTH(G$4,0))*('Comp.'!$E$5:$E$402))</f>
        <v>24333.91</v>
      </c>
      <c r="H161" s="11">
        <f>SUMPRODUCT((Diário!$E$4:$E$2662='Analítico Cp.'!$B161)*(Diário!$C$4:$C$2662&gt;=H$4)*(Diário!$C$4:$C$2662&lt;=EOMONTH(H$4,0))*(Diário!$F$4:$F$2662))
+SUMPRODUCT(('Comp.'!$D$5:$D$402=$B161)*('Comp.'!$B$5:$B$402&gt;=H$4)*('Comp.'!$B$5:$B$402&lt;=EOMONTH(H$4,0))*('Comp.'!$E$5:$E$402))</f>
        <v>3793.8100000000004</v>
      </c>
      <c r="I161" s="11">
        <f>SUMPRODUCT((Diário!$E$4:$E$2662='Analítico Cp.'!$B161)*(Diário!$C$4:$C$2662&gt;=I$4)*(Diário!$C$4:$C$2662&lt;=EOMONTH(I$4,0))*(Diário!$F$4:$F$2662))
+SUMPRODUCT(('Comp.'!$D$5:$D$402=$B161)*('Comp.'!$B$5:$B$402&gt;=I$4)*('Comp.'!$B$5:$B$402&lt;=EOMONTH(I$4,0))*('Comp.'!$E$5:$E$402))</f>
        <v>0</v>
      </c>
      <c r="J161" s="11">
        <f>SUMPRODUCT((Diário!$E$4:$E$2662='Analítico Cp.'!$B161)*(Diário!$C$4:$C$2662&gt;=J$4)*(Diário!$C$4:$C$2662&lt;=EOMONTH(J$4,0))*(Diário!$F$4:$F$2662))
+SUMPRODUCT(('Comp.'!$D$5:$D$402=$B161)*('Comp.'!$B$5:$B$402&gt;=J$4)*('Comp.'!$B$5:$B$402&lt;=EOMONTH(J$4,0))*('Comp.'!$E$5:$E$402))</f>
        <v>0</v>
      </c>
      <c r="K161" s="11">
        <f>SUMPRODUCT((Diário!$E$4:$E$2662='Analítico Cp.'!$B161)*(Diário!$C$4:$C$2662&gt;=K$4)*(Diário!$C$4:$C$2662&lt;=EOMONTH(K$4,0))*(Diário!$F$4:$F$2662))
+SUMPRODUCT(('Comp.'!$D$5:$D$402=$B161)*('Comp.'!$B$5:$B$402&gt;=K$4)*('Comp.'!$B$5:$B$402&lt;=EOMONTH(K$4,0))*('Comp.'!$E$5:$E$402))</f>
        <v>0</v>
      </c>
      <c r="L161" s="11">
        <f>SUMPRODUCT((Diário!$E$4:$E$2662='Analítico Cp.'!$B161)*(Diário!$C$4:$C$2662&gt;=L$4)*(Diário!$C$4:$C$2662&lt;=EOMONTH(L$4,0))*(Diário!$F$4:$F$2662))
+SUMPRODUCT(('Comp.'!$D$5:$D$402=$B161)*('Comp.'!$B$5:$B$402&gt;=L$4)*('Comp.'!$B$5:$B$402&lt;=EOMONTH(L$4,0))*('Comp.'!$E$5:$E$402))</f>
        <v>0</v>
      </c>
      <c r="M161" s="11">
        <f>SUMPRODUCT((Diário!$E$4:$E$2662='Analítico Cp.'!$B161)*(Diário!$C$4:$C$2662&gt;=M$4)*(Diário!$C$4:$C$2662&lt;=EOMONTH(M$4,0))*(Diário!$F$4:$F$2662))
+SUMPRODUCT(('Comp.'!$D$5:$D$402=$B161)*('Comp.'!$B$5:$B$402&gt;=M$4)*('Comp.'!$B$5:$B$402&lt;=EOMONTH(M$4,0))*('Comp.'!$E$5:$E$402))</f>
        <v>0</v>
      </c>
      <c r="N161" s="11">
        <f>SUMPRODUCT((Diário!$E$4:$E$2662='Analítico Cp.'!$B161)*(Diário!$C$4:$C$2662&gt;=N$4)*(Diário!$C$4:$C$2662&lt;=EOMONTH(N$4,0))*(Diário!$F$4:$F$2662))
+SUMPRODUCT(('Comp.'!$D$5:$D$402=$B161)*('Comp.'!$B$5:$B$402&gt;=N$4)*('Comp.'!$B$5:$B$402&lt;=EOMONTH(N$4,0))*('Comp.'!$E$5:$E$402))</f>
        <v>0</v>
      </c>
      <c r="O161" s="12">
        <f t="shared" si="16"/>
        <v>193178.74000000002</v>
      </c>
      <c r="P161" s="95">
        <f t="shared" si="17"/>
        <v>9.6745565182402675E-3</v>
      </c>
    </row>
    <row r="162" spans="1:16" ht="23.25" customHeight="1">
      <c r="A162" s="40" t="s">
        <v>552</v>
      </c>
      <c r="B162" s="60" t="s">
        <v>499</v>
      </c>
      <c r="C162" s="11">
        <f>SUMPRODUCT((Diário!$E$4:$E$2662='Analítico Cp.'!$B162)*(Diário!$C$4:$C$2662&gt;=C$4)*(Diário!$C$4:$C$2662&lt;=EOMONTH(C$4,0))*(Diário!$F$4:$F$2662))
+SUMPRODUCT(('Comp.'!$D$5:$D$402=$B162)*('Comp.'!$B$5:$B$402&gt;=C$4)*('Comp.'!$B$5:$B$402&lt;=EOMONTH(C$4,0))*('Comp.'!$E$5:$E$402))</f>
        <v>0</v>
      </c>
      <c r="D162" s="11">
        <f>SUMPRODUCT((Diário!$E$4:$E$2662='Analítico Cp.'!$B162)*(Diário!$C$4:$C$2662&gt;=D$4)*(Diário!$C$4:$C$2662&lt;=EOMONTH(D$4,0))*(Diário!$F$4:$F$2662))
+SUMPRODUCT(('Comp.'!$D$5:$D$402=$B162)*('Comp.'!$B$5:$B$402&gt;=D$4)*('Comp.'!$B$5:$B$402&lt;=EOMONTH(D$4,0))*('Comp.'!$E$5:$E$402))</f>
        <v>0</v>
      </c>
      <c r="E162" s="11">
        <f>SUMPRODUCT((Diário!$E$4:$E$2662='Analítico Cp.'!$B162)*(Diário!$C$4:$C$2662&gt;=E$4)*(Diário!$C$4:$C$2662&lt;=EOMONTH(E$4,0))*(Diário!$F$4:$F$2662))
+SUMPRODUCT(('Comp.'!$D$5:$D$402=$B162)*('Comp.'!$B$5:$B$402&gt;=E$4)*('Comp.'!$B$5:$B$402&lt;=EOMONTH(E$4,0))*('Comp.'!$E$5:$E$402))</f>
        <v>0</v>
      </c>
      <c r="F162" s="11">
        <f>SUMPRODUCT((Diário!$E$4:$E$2662='Analítico Cp.'!$B162)*(Diário!$C$4:$C$2662&gt;=F$4)*(Diário!$C$4:$C$2662&lt;=EOMONTH(F$4,0))*(Diário!$F$4:$F$2662))
+SUMPRODUCT(('Comp.'!$D$5:$D$402=$B162)*('Comp.'!$B$5:$B$402&gt;=F$4)*('Comp.'!$B$5:$B$402&lt;=EOMONTH(F$4,0))*('Comp.'!$E$5:$E$402))</f>
        <v>0</v>
      </c>
      <c r="G162" s="11">
        <f>SUMPRODUCT((Diário!$E$4:$E$2662='Analítico Cp.'!$B162)*(Diário!$C$4:$C$2662&gt;=G$4)*(Diário!$C$4:$C$2662&lt;=EOMONTH(G$4,0))*(Diário!$F$4:$F$2662))
+SUMPRODUCT(('Comp.'!$D$5:$D$402=$B162)*('Comp.'!$B$5:$B$402&gt;=G$4)*('Comp.'!$B$5:$B$402&lt;=EOMONTH(G$4,0))*('Comp.'!$E$5:$E$402))</f>
        <v>0</v>
      </c>
      <c r="H162" s="11">
        <f>SUMPRODUCT((Diário!$E$4:$E$2662='Analítico Cp.'!$B162)*(Diário!$C$4:$C$2662&gt;=H$4)*(Diário!$C$4:$C$2662&lt;=EOMONTH(H$4,0))*(Diário!$F$4:$F$2662))
+SUMPRODUCT(('Comp.'!$D$5:$D$402=$B162)*('Comp.'!$B$5:$B$402&gt;=H$4)*('Comp.'!$B$5:$B$402&lt;=EOMONTH(H$4,0))*('Comp.'!$E$5:$E$402))</f>
        <v>0</v>
      </c>
      <c r="I162" s="11">
        <f>SUMPRODUCT((Diário!$E$4:$E$2662='Analítico Cp.'!$B162)*(Diário!$C$4:$C$2662&gt;=I$4)*(Diário!$C$4:$C$2662&lt;=EOMONTH(I$4,0))*(Diário!$F$4:$F$2662))
+SUMPRODUCT(('Comp.'!$D$5:$D$402=$B162)*('Comp.'!$B$5:$B$402&gt;=I$4)*('Comp.'!$B$5:$B$402&lt;=EOMONTH(I$4,0))*('Comp.'!$E$5:$E$402))</f>
        <v>0</v>
      </c>
      <c r="J162" s="11">
        <f>SUMPRODUCT((Diário!$E$4:$E$2662='Analítico Cp.'!$B162)*(Diário!$C$4:$C$2662&gt;=J$4)*(Diário!$C$4:$C$2662&lt;=EOMONTH(J$4,0))*(Diário!$F$4:$F$2662))
+SUMPRODUCT(('Comp.'!$D$5:$D$402=$B162)*('Comp.'!$B$5:$B$402&gt;=J$4)*('Comp.'!$B$5:$B$402&lt;=EOMONTH(J$4,0))*('Comp.'!$E$5:$E$402))</f>
        <v>0</v>
      </c>
      <c r="K162" s="11">
        <f>SUMPRODUCT((Diário!$E$4:$E$2662='Analítico Cp.'!$B162)*(Diário!$C$4:$C$2662&gt;=K$4)*(Diário!$C$4:$C$2662&lt;=EOMONTH(K$4,0))*(Diário!$F$4:$F$2662))
+SUMPRODUCT(('Comp.'!$D$5:$D$402=$B162)*('Comp.'!$B$5:$B$402&gt;=K$4)*('Comp.'!$B$5:$B$402&lt;=EOMONTH(K$4,0))*('Comp.'!$E$5:$E$402))</f>
        <v>0</v>
      </c>
      <c r="L162" s="11">
        <f>SUMPRODUCT((Diário!$E$4:$E$2662='Analítico Cp.'!$B162)*(Diário!$C$4:$C$2662&gt;=L$4)*(Diário!$C$4:$C$2662&lt;=EOMONTH(L$4,0))*(Diário!$F$4:$F$2662))
+SUMPRODUCT(('Comp.'!$D$5:$D$402=$B162)*('Comp.'!$B$5:$B$402&gt;=L$4)*('Comp.'!$B$5:$B$402&lt;=EOMONTH(L$4,0))*('Comp.'!$E$5:$E$402))</f>
        <v>0</v>
      </c>
      <c r="M162" s="11">
        <f>SUMPRODUCT((Diário!$E$4:$E$2662='Analítico Cp.'!$B162)*(Diário!$C$4:$C$2662&gt;=M$4)*(Diário!$C$4:$C$2662&lt;=EOMONTH(M$4,0))*(Diário!$F$4:$F$2662))
+SUMPRODUCT(('Comp.'!$D$5:$D$402=$B162)*('Comp.'!$B$5:$B$402&gt;=M$4)*('Comp.'!$B$5:$B$402&lt;=EOMONTH(M$4,0))*('Comp.'!$E$5:$E$402))</f>
        <v>0</v>
      </c>
      <c r="N162" s="11">
        <f>SUMPRODUCT((Diário!$E$4:$E$2662='Analítico Cp.'!$B162)*(Diário!$C$4:$C$2662&gt;=N$4)*(Diário!$C$4:$C$2662&lt;=EOMONTH(N$4,0))*(Diário!$F$4:$F$2662))
+SUMPRODUCT(('Comp.'!$D$5:$D$402=$B162)*('Comp.'!$B$5:$B$402&gt;=N$4)*('Comp.'!$B$5:$B$402&lt;=EOMONTH(N$4,0))*('Comp.'!$E$5:$E$402))</f>
        <v>0</v>
      </c>
      <c r="O162" s="12">
        <f t="shared" si="16"/>
        <v>0</v>
      </c>
      <c r="P162" s="95">
        <f t="shared" si="17"/>
        <v>0</v>
      </c>
    </row>
    <row r="163" spans="1:16" ht="23.25" customHeight="1">
      <c r="A163" s="40" t="s">
        <v>553</v>
      </c>
      <c r="B163" s="60" t="s">
        <v>500</v>
      </c>
      <c r="C163" s="11">
        <f>SUMPRODUCT((Diário!$E$4:$E$2662='Analítico Cp.'!$B163)*(Diário!$C$4:$C$2662&gt;=C$4)*(Diário!$C$4:$C$2662&lt;=EOMONTH(C$4,0))*(Diário!$F$4:$F$2662))
+SUMPRODUCT(('Comp.'!$D$5:$D$402=$B163)*('Comp.'!$B$5:$B$402&gt;=C$4)*('Comp.'!$B$5:$B$402&lt;=EOMONTH(C$4,0))*('Comp.'!$E$5:$E$402))</f>
        <v>0</v>
      </c>
      <c r="D163" s="11">
        <f>SUMPRODUCT((Diário!$E$4:$E$2662='Analítico Cp.'!$B163)*(Diário!$C$4:$C$2662&gt;=D$4)*(Diário!$C$4:$C$2662&lt;=EOMONTH(D$4,0))*(Diário!$F$4:$F$2662))
+SUMPRODUCT(('Comp.'!$D$5:$D$402=$B163)*('Comp.'!$B$5:$B$402&gt;=D$4)*('Comp.'!$B$5:$B$402&lt;=EOMONTH(D$4,0))*('Comp.'!$E$5:$E$402))</f>
        <v>1720</v>
      </c>
      <c r="E163" s="11">
        <f>SUMPRODUCT((Diário!$E$4:$E$2662='Analítico Cp.'!$B163)*(Diário!$C$4:$C$2662&gt;=E$4)*(Diário!$C$4:$C$2662&lt;=EOMONTH(E$4,0))*(Diário!$F$4:$F$2662))
+SUMPRODUCT(('Comp.'!$D$5:$D$402=$B163)*('Comp.'!$B$5:$B$402&gt;=E$4)*('Comp.'!$B$5:$B$402&lt;=EOMONTH(E$4,0))*('Comp.'!$E$5:$E$402))</f>
        <v>4185</v>
      </c>
      <c r="F163" s="11">
        <f>SUMPRODUCT((Diário!$E$4:$E$2662='Analítico Cp.'!$B163)*(Diário!$C$4:$C$2662&gt;=F$4)*(Diário!$C$4:$C$2662&lt;=EOMONTH(F$4,0))*(Diário!$F$4:$F$2662))
+SUMPRODUCT(('Comp.'!$D$5:$D$402=$B163)*('Comp.'!$B$5:$B$402&gt;=F$4)*('Comp.'!$B$5:$B$402&lt;=EOMONTH(F$4,0))*('Comp.'!$E$5:$E$402))</f>
        <v>1825</v>
      </c>
      <c r="G163" s="11">
        <f>SUMPRODUCT((Diário!$E$4:$E$2662='Analítico Cp.'!$B163)*(Diário!$C$4:$C$2662&gt;=G$4)*(Diário!$C$4:$C$2662&lt;=EOMONTH(G$4,0))*(Diário!$F$4:$F$2662))
+SUMPRODUCT(('Comp.'!$D$5:$D$402=$B163)*('Comp.'!$B$5:$B$402&gt;=G$4)*('Comp.'!$B$5:$B$402&lt;=EOMONTH(G$4,0))*('Comp.'!$E$5:$E$402))</f>
        <v>5967.9800000000005</v>
      </c>
      <c r="H163" s="11">
        <f>SUMPRODUCT((Diário!$E$4:$E$2662='Analítico Cp.'!$B163)*(Diário!$C$4:$C$2662&gt;=H$4)*(Diário!$C$4:$C$2662&lt;=EOMONTH(H$4,0))*(Diário!$F$4:$F$2662))
+SUMPRODUCT(('Comp.'!$D$5:$D$402=$B163)*('Comp.'!$B$5:$B$402&gt;=H$4)*('Comp.'!$B$5:$B$402&lt;=EOMONTH(H$4,0))*('Comp.'!$E$5:$E$402))</f>
        <v>2645</v>
      </c>
      <c r="I163" s="11">
        <f>SUMPRODUCT((Diário!$E$4:$E$2662='Analítico Cp.'!$B163)*(Diário!$C$4:$C$2662&gt;=I$4)*(Diário!$C$4:$C$2662&lt;=EOMONTH(I$4,0))*(Diário!$F$4:$F$2662))
+SUMPRODUCT(('Comp.'!$D$5:$D$402=$B163)*('Comp.'!$B$5:$B$402&gt;=I$4)*('Comp.'!$B$5:$B$402&lt;=EOMONTH(I$4,0))*('Comp.'!$E$5:$E$402))</f>
        <v>0</v>
      </c>
      <c r="J163" s="11">
        <f>SUMPRODUCT((Diário!$E$4:$E$2662='Analítico Cp.'!$B163)*(Diário!$C$4:$C$2662&gt;=J$4)*(Diário!$C$4:$C$2662&lt;=EOMONTH(J$4,0))*(Diário!$F$4:$F$2662))
+SUMPRODUCT(('Comp.'!$D$5:$D$402=$B163)*('Comp.'!$B$5:$B$402&gt;=J$4)*('Comp.'!$B$5:$B$402&lt;=EOMONTH(J$4,0))*('Comp.'!$E$5:$E$402))</f>
        <v>0</v>
      </c>
      <c r="K163" s="11">
        <f>SUMPRODUCT((Diário!$E$4:$E$2662='Analítico Cp.'!$B163)*(Diário!$C$4:$C$2662&gt;=K$4)*(Diário!$C$4:$C$2662&lt;=EOMONTH(K$4,0))*(Diário!$F$4:$F$2662))
+SUMPRODUCT(('Comp.'!$D$5:$D$402=$B163)*('Comp.'!$B$5:$B$402&gt;=K$4)*('Comp.'!$B$5:$B$402&lt;=EOMONTH(K$4,0))*('Comp.'!$E$5:$E$402))</f>
        <v>0</v>
      </c>
      <c r="L163" s="11">
        <f>SUMPRODUCT((Diário!$E$4:$E$2662='Analítico Cp.'!$B163)*(Diário!$C$4:$C$2662&gt;=L$4)*(Diário!$C$4:$C$2662&lt;=EOMONTH(L$4,0))*(Diário!$F$4:$F$2662))
+SUMPRODUCT(('Comp.'!$D$5:$D$402=$B163)*('Comp.'!$B$5:$B$402&gt;=L$4)*('Comp.'!$B$5:$B$402&lt;=EOMONTH(L$4,0))*('Comp.'!$E$5:$E$402))</f>
        <v>0</v>
      </c>
      <c r="M163" s="11">
        <f>SUMPRODUCT((Diário!$E$4:$E$2662='Analítico Cp.'!$B163)*(Diário!$C$4:$C$2662&gt;=M$4)*(Diário!$C$4:$C$2662&lt;=EOMONTH(M$4,0))*(Diário!$F$4:$F$2662))
+SUMPRODUCT(('Comp.'!$D$5:$D$402=$B163)*('Comp.'!$B$5:$B$402&gt;=M$4)*('Comp.'!$B$5:$B$402&lt;=EOMONTH(M$4,0))*('Comp.'!$E$5:$E$402))</f>
        <v>0</v>
      </c>
      <c r="N163" s="11">
        <f>SUMPRODUCT((Diário!$E$4:$E$2662='Analítico Cp.'!$B163)*(Diário!$C$4:$C$2662&gt;=N$4)*(Diário!$C$4:$C$2662&lt;=EOMONTH(N$4,0))*(Diário!$F$4:$F$2662))
+SUMPRODUCT(('Comp.'!$D$5:$D$402=$B163)*('Comp.'!$B$5:$B$402&gt;=N$4)*('Comp.'!$B$5:$B$402&lt;=EOMONTH(N$4,0))*('Comp.'!$E$5:$E$402))</f>
        <v>0</v>
      </c>
      <c r="O163" s="12">
        <f t="shared" si="16"/>
        <v>16342.98</v>
      </c>
      <c r="P163" s="95">
        <f t="shared" si="17"/>
        <v>8.1847041598092165E-4</v>
      </c>
    </row>
    <row r="164" spans="1:16" ht="23.25" customHeight="1">
      <c r="A164" s="40" t="s">
        <v>554</v>
      </c>
      <c r="B164" s="60" t="s">
        <v>501</v>
      </c>
      <c r="C164" s="11">
        <f>SUMPRODUCT((Diário!$E$4:$E$2662='Analítico Cp.'!$B164)*(Diário!$C$4:$C$2662&gt;=C$4)*(Diário!$C$4:$C$2662&lt;=EOMONTH(C$4,0))*(Diário!$F$4:$F$2662))
+SUMPRODUCT(('Comp.'!$D$5:$D$402=$B164)*('Comp.'!$B$5:$B$402&gt;=C$4)*('Comp.'!$B$5:$B$402&lt;=EOMONTH(C$4,0))*('Comp.'!$E$5:$E$402))</f>
        <v>4814.3999999999996</v>
      </c>
      <c r="D164" s="11">
        <f>SUMPRODUCT((Diário!$E$4:$E$2662='Analítico Cp.'!$B164)*(Diário!$C$4:$C$2662&gt;=D$4)*(Diário!$C$4:$C$2662&lt;=EOMONTH(D$4,0))*(Diário!$F$4:$F$2662))
+SUMPRODUCT(('Comp.'!$D$5:$D$402=$B164)*('Comp.'!$B$5:$B$402&gt;=D$4)*('Comp.'!$B$5:$B$402&lt;=EOMONTH(D$4,0))*('Comp.'!$E$5:$E$402))</f>
        <v>0</v>
      </c>
      <c r="E164" s="11">
        <f>SUMPRODUCT((Diário!$E$4:$E$2662='Analítico Cp.'!$B164)*(Diário!$C$4:$C$2662&gt;=E$4)*(Diário!$C$4:$C$2662&lt;=EOMONTH(E$4,0))*(Diário!$F$4:$F$2662))
+SUMPRODUCT(('Comp.'!$D$5:$D$402=$B164)*('Comp.'!$B$5:$B$402&gt;=E$4)*('Comp.'!$B$5:$B$402&lt;=EOMONTH(E$4,0))*('Comp.'!$E$5:$E$402))</f>
        <v>0</v>
      </c>
      <c r="F164" s="11">
        <f>SUMPRODUCT((Diário!$E$4:$E$2662='Analítico Cp.'!$B164)*(Diário!$C$4:$C$2662&gt;=F$4)*(Diário!$C$4:$C$2662&lt;=EOMONTH(F$4,0))*(Diário!$F$4:$F$2662))
+SUMPRODUCT(('Comp.'!$D$5:$D$402=$B164)*('Comp.'!$B$5:$B$402&gt;=F$4)*('Comp.'!$B$5:$B$402&lt;=EOMONTH(F$4,0))*('Comp.'!$E$5:$E$402))</f>
        <v>0</v>
      </c>
      <c r="G164" s="11">
        <f>SUMPRODUCT((Diário!$E$4:$E$2662='Analítico Cp.'!$B164)*(Diário!$C$4:$C$2662&gt;=G$4)*(Diário!$C$4:$C$2662&lt;=EOMONTH(G$4,0))*(Diário!$F$4:$F$2662))
+SUMPRODUCT(('Comp.'!$D$5:$D$402=$B164)*('Comp.'!$B$5:$B$402&gt;=G$4)*('Comp.'!$B$5:$B$402&lt;=EOMONTH(G$4,0))*('Comp.'!$E$5:$E$402))</f>
        <v>1754.52</v>
      </c>
      <c r="H164" s="11">
        <f>SUMPRODUCT((Diário!$E$4:$E$2662='Analítico Cp.'!$B164)*(Diário!$C$4:$C$2662&gt;=H$4)*(Diário!$C$4:$C$2662&lt;=EOMONTH(H$4,0))*(Diário!$F$4:$F$2662))
+SUMPRODUCT(('Comp.'!$D$5:$D$402=$B164)*('Comp.'!$B$5:$B$402&gt;=H$4)*('Comp.'!$B$5:$B$402&lt;=EOMONTH(H$4,0))*('Comp.'!$E$5:$E$402))</f>
        <v>4658.71</v>
      </c>
      <c r="I164" s="11">
        <f>SUMPRODUCT((Diário!$E$4:$E$2662='Analítico Cp.'!$B164)*(Diário!$C$4:$C$2662&gt;=I$4)*(Diário!$C$4:$C$2662&lt;=EOMONTH(I$4,0))*(Diário!$F$4:$F$2662))
+SUMPRODUCT(('Comp.'!$D$5:$D$402=$B164)*('Comp.'!$B$5:$B$402&gt;=I$4)*('Comp.'!$B$5:$B$402&lt;=EOMONTH(I$4,0))*('Comp.'!$E$5:$E$402))</f>
        <v>0</v>
      </c>
      <c r="J164" s="11">
        <f>SUMPRODUCT((Diário!$E$4:$E$2662='Analítico Cp.'!$B164)*(Diário!$C$4:$C$2662&gt;=J$4)*(Diário!$C$4:$C$2662&lt;=EOMONTH(J$4,0))*(Diário!$F$4:$F$2662))
+SUMPRODUCT(('Comp.'!$D$5:$D$402=$B164)*('Comp.'!$B$5:$B$402&gt;=J$4)*('Comp.'!$B$5:$B$402&lt;=EOMONTH(J$4,0))*('Comp.'!$E$5:$E$402))</f>
        <v>0</v>
      </c>
      <c r="K164" s="11">
        <f>SUMPRODUCT((Diário!$E$4:$E$2662='Analítico Cp.'!$B164)*(Diário!$C$4:$C$2662&gt;=K$4)*(Diário!$C$4:$C$2662&lt;=EOMONTH(K$4,0))*(Diário!$F$4:$F$2662))
+SUMPRODUCT(('Comp.'!$D$5:$D$402=$B164)*('Comp.'!$B$5:$B$402&gt;=K$4)*('Comp.'!$B$5:$B$402&lt;=EOMONTH(K$4,0))*('Comp.'!$E$5:$E$402))</f>
        <v>0</v>
      </c>
      <c r="L164" s="11">
        <f>SUMPRODUCT((Diário!$E$4:$E$2662='Analítico Cp.'!$B164)*(Diário!$C$4:$C$2662&gt;=L$4)*(Diário!$C$4:$C$2662&lt;=EOMONTH(L$4,0))*(Diário!$F$4:$F$2662))
+SUMPRODUCT(('Comp.'!$D$5:$D$402=$B164)*('Comp.'!$B$5:$B$402&gt;=L$4)*('Comp.'!$B$5:$B$402&lt;=EOMONTH(L$4,0))*('Comp.'!$E$5:$E$402))</f>
        <v>0</v>
      </c>
      <c r="M164" s="11">
        <f>SUMPRODUCT((Diário!$E$4:$E$2662='Analítico Cp.'!$B164)*(Diário!$C$4:$C$2662&gt;=M$4)*(Diário!$C$4:$C$2662&lt;=EOMONTH(M$4,0))*(Diário!$F$4:$F$2662))
+SUMPRODUCT(('Comp.'!$D$5:$D$402=$B164)*('Comp.'!$B$5:$B$402&gt;=M$4)*('Comp.'!$B$5:$B$402&lt;=EOMONTH(M$4,0))*('Comp.'!$E$5:$E$402))</f>
        <v>0</v>
      </c>
      <c r="N164" s="11">
        <f>SUMPRODUCT((Diário!$E$4:$E$2662='Analítico Cp.'!$B164)*(Diário!$C$4:$C$2662&gt;=N$4)*(Diário!$C$4:$C$2662&lt;=EOMONTH(N$4,0))*(Diário!$F$4:$F$2662))
+SUMPRODUCT(('Comp.'!$D$5:$D$402=$B164)*('Comp.'!$B$5:$B$402&gt;=N$4)*('Comp.'!$B$5:$B$402&lt;=EOMONTH(N$4,0))*('Comp.'!$E$5:$E$402))</f>
        <v>0</v>
      </c>
      <c r="O164" s="12">
        <f t="shared" si="16"/>
        <v>11227.630000000001</v>
      </c>
      <c r="P164" s="95">
        <f t="shared" si="17"/>
        <v>5.6228931300043665E-4</v>
      </c>
    </row>
    <row r="165" spans="1:16" ht="23.25" customHeight="1">
      <c r="A165" s="40" t="s">
        <v>555</v>
      </c>
      <c r="B165" s="60" t="s">
        <v>502</v>
      </c>
      <c r="C165" s="11">
        <f>SUMPRODUCT((Diário!$E$4:$E$2662='Analítico Cp.'!$B165)*(Diário!$C$4:$C$2662&gt;=C$4)*(Diário!$C$4:$C$2662&lt;=EOMONTH(C$4,0))*(Diário!$F$4:$F$2662))
+SUMPRODUCT(('Comp.'!$D$5:$D$402=$B165)*('Comp.'!$B$5:$B$402&gt;=C$4)*('Comp.'!$B$5:$B$402&lt;=EOMONTH(C$4,0))*('Comp.'!$E$5:$E$402))</f>
        <v>1340.6799999999998</v>
      </c>
      <c r="D165" s="11">
        <f>SUMPRODUCT((Diário!$E$4:$E$2662='Analítico Cp.'!$B165)*(Diário!$C$4:$C$2662&gt;=D$4)*(Diário!$C$4:$C$2662&lt;=EOMONTH(D$4,0))*(Diário!$F$4:$F$2662))
+SUMPRODUCT(('Comp.'!$D$5:$D$402=$B165)*('Comp.'!$B$5:$B$402&gt;=D$4)*('Comp.'!$B$5:$B$402&lt;=EOMONTH(D$4,0))*('Comp.'!$E$5:$E$402))</f>
        <v>17359.849999999999</v>
      </c>
      <c r="E165" s="11">
        <f>SUMPRODUCT((Diário!$E$4:$E$2662='Analítico Cp.'!$B165)*(Diário!$C$4:$C$2662&gt;=E$4)*(Diário!$C$4:$C$2662&lt;=EOMONTH(E$4,0))*(Diário!$F$4:$F$2662))
+SUMPRODUCT(('Comp.'!$D$5:$D$402=$B165)*('Comp.'!$B$5:$B$402&gt;=E$4)*('Comp.'!$B$5:$B$402&lt;=EOMONTH(E$4,0))*('Comp.'!$E$5:$E$402))</f>
        <v>13153.71</v>
      </c>
      <c r="F165" s="11">
        <f>SUMPRODUCT((Diário!$E$4:$E$2662='Analítico Cp.'!$B165)*(Diário!$C$4:$C$2662&gt;=F$4)*(Diário!$C$4:$C$2662&lt;=EOMONTH(F$4,0))*(Diário!$F$4:$F$2662))
+SUMPRODUCT(('Comp.'!$D$5:$D$402=$B165)*('Comp.'!$B$5:$B$402&gt;=F$4)*('Comp.'!$B$5:$B$402&lt;=EOMONTH(F$4,0))*('Comp.'!$E$5:$E$402))</f>
        <v>53486.249999999993</v>
      </c>
      <c r="G165" s="11">
        <f>SUMPRODUCT((Diário!$E$4:$E$2662='Analítico Cp.'!$B165)*(Diário!$C$4:$C$2662&gt;=G$4)*(Diário!$C$4:$C$2662&lt;=EOMONTH(G$4,0))*(Diário!$F$4:$F$2662))
+SUMPRODUCT(('Comp.'!$D$5:$D$402=$B165)*('Comp.'!$B$5:$B$402&gt;=G$4)*('Comp.'!$B$5:$B$402&lt;=EOMONTH(G$4,0))*('Comp.'!$E$5:$E$402))</f>
        <v>21558.210000000003</v>
      </c>
      <c r="H165" s="11">
        <f>SUMPRODUCT((Diário!$E$4:$E$2662='Analítico Cp.'!$B165)*(Diário!$C$4:$C$2662&gt;=H$4)*(Diário!$C$4:$C$2662&lt;=EOMONTH(H$4,0))*(Diário!$F$4:$F$2662))
+SUMPRODUCT(('Comp.'!$D$5:$D$402=$B165)*('Comp.'!$B$5:$B$402&gt;=H$4)*('Comp.'!$B$5:$B$402&lt;=EOMONTH(H$4,0))*('Comp.'!$E$5:$E$402))</f>
        <v>31850.589999999997</v>
      </c>
      <c r="I165" s="11">
        <f>SUMPRODUCT((Diário!$E$4:$E$2662='Analítico Cp.'!$B165)*(Diário!$C$4:$C$2662&gt;=I$4)*(Diário!$C$4:$C$2662&lt;=EOMONTH(I$4,0))*(Diário!$F$4:$F$2662))
+SUMPRODUCT(('Comp.'!$D$5:$D$402=$B165)*('Comp.'!$B$5:$B$402&gt;=I$4)*('Comp.'!$B$5:$B$402&lt;=EOMONTH(I$4,0))*('Comp.'!$E$5:$E$402))</f>
        <v>0</v>
      </c>
      <c r="J165" s="11">
        <f>SUMPRODUCT((Diário!$E$4:$E$2662='Analítico Cp.'!$B165)*(Diário!$C$4:$C$2662&gt;=J$4)*(Diário!$C$4:$C$2662&lt;=EOMONTH(J$4,0))*(Diário!$F$4:$F$2662))
+SUMPRODUCT(('Comp.'!$D$5:$D$402=$B165)*('Comp.'!$B$5:$B$402&gt;=J$4)*('Comp.'!$B$5:$B$402&lt;=EOMONTH(J$4,0))*('Comp.'!$E$5:$E$402))</f>
        <v>0</v>
      </c>
      <c r="K165" s="11">
        <f>SUMPRODUCT((Diário!$E$4:$E$2662='Analítico Cp.'!$B165)*(Diário!$C$4:$C$2662&gt;=K$4)*(Diário!$C$4:$C$2662&lt;=EOMONTH(K$4,0))*(Diário!$F$4:$F$2662))
+SUMPRODUCT(('Comp.'!$D$5:$D$402=$B165)*('Comp.'!$B$5:$B$402&gt;=K$4)*('Comp.'!$B$5:$B$402&lt;=EOMONTH(K$4,0))*('Comp.'!$E$5:$E$402))</f>
        <v>0</v>
      </c>
      <c r="L165" s="11">
        <f>SUMPRODUCT((Diário!$E$4:$E$2662='Analítico Cp.'!$B165)*(Diário!$C$4:$C$2662&gt;=L$4)*(Diário!$C$4:$C$2662&lt;=EOMONTH(L$4,0))*(Diário!$F$4:$F$2662))
+SUMPRODUCT(('Comp.'!$D$5:$D$402=$B165)*('Comp.'!$B$5:$B$402&gt;=L$4)*('Comp.'!$B$5:$B$402&lt;=EOMONTH(L$4,0))*('Comp.'!$E$5:$E$402))</f>
        <v>0</v>
      </c>
      <c r="M165" s="11">
        <f>SUMPRODUCT((Diário!$E$4:$E$2662='Analítico Cp.'!$B165)*(Diário!$C$4:$C$2662&gt;=M$4)*(Diário!$C$4:$C$2662&lt;=EOMONTH(M$4,0))*(Diário!$F$4:$F$2662))
+SUMPRODUCT(('Comp.'!$D$5:$D$402=$B165)*('Comp.'!$B$5:$B$402&gt;=M$4)*('Comp.'!$B$5:$B$402&lt;=EOMONTH(M$4,0))*('Comp.'!$E$5:$E$402))</f>
        <v>0</v>
      </c>
      <c r="N165" s="11">
        <f>SUMPRODUCT((Diário!$E$4:$E$2662='Analítico Cp.'!$B165)*(Diário!$C$4:$C$2662&gt;=N$4)*(Diário!$C$4:$C$2662&lt;=EOMONTH(N$4,0))*(Diário!$F$4:$F$2662))
+SUMPRODUCT(('Comp.'!$D$5:$D$402=$B165)*('Comp.'!$B$5:$B$402&gt;=N$4)*('Comp.'!$B$5:$B$402&lt;=EOMONTH(N$4,0))*('Comp.'!$E$5:$E$402))</f>
        <v>0</v>
      </c>
      <c r="O165" s="12">
        <f t="shared" si="16"/>
        <v>138749.28999999998</v>
      </c>
      <c r="P165" s="95">
        <f t="shared" si="17"/>
        <v>6.9486831106296111E-3</v>
      </c>
    </row>
    <row r="166" spans="1:16" ht="23.25" customHeight="1">
      <c r="A166" s="40" t="s">
        <v>556</v>
      </c>
      <c r="B166" s="60" t="s">
        <v>503</v>
      </c>
      <c r="C166" s="11">
        <f>SUMPRODUCT((Diário!$E$4:$E$2662='Analítico Cp.'!$B166)*(Diário!$C$4:$C$2662&gt;=C$4)*(Diário!$C$4:$C$2662&lt;=EOMONTH(C$4,0))*(Diário!$F$4:$F$2662))
+SUMPRODUCT(('Comp.'!$D$5:$D$402=$B166)*('Comp.'!$B$5:$B$402&gt;=C$4)*('Comp.'!$B$5:$B$402&lt;=EOMONTH(C$4,0))*('Comp.'!$E$5:$E$402))</f>
        <v>0</v>
      </c>
      <c r="D166" s="11">
        <f>SUMPRODUCT((Diário!$E$4:$E$2662='Analítico Cp.'!$B166)*(Diário!$C$4:$C$2662&gt;=D$4)*(Diário!$C$4:$C$2662&lt;=EOMONTH(D$4,0))*(Diário!$F$4:$F$2662))
+SUMPRODUCT(('Comp.'!$D$5:$D$402=$B166)*('Comp.'!$B$5:$B$402&gt;=D$4)*('Comp.'!$B$5:$B$402&lt;=EOMONTH(D$4,0))*('Comp.'!$E$5:$E$402))</f>
        <v>0</v>
      </c>
      <c r="E166" s="11">
        <f>SUMPRODUCT((Diário!$E$4:$E$2662='Analítico Cp.'!$B166)*(Diário!$C$4:$C$2662&gt;=E$4)*(Diário!$C$4:$C$2662&lt;=EOMONTH(E$4,0))*(Diário!$F$4:$F$2662))
+SUMPRODUCT(('Comp.'!$D$5:$D$402=$B166)*('Comp.'!$B$5:$B$402&gt;=E$4)*('Comp.'!$B$5:$B$402&lt;=EOMONTH(E$4,0))*('Comp.'!$E$5:$E$402))</f>
        <v>8500</v>
      </c>
      <c r="F166" s="11">
        <f>SUMPRODUCT((Diário!$E$4:$E$2662='Analítico Cp.'!$B166)*(Diário!$C$4:$C$2662&gt;=F$4)*(Diário!$C$4:$C$2662&lt;=EOMONTH(F$4,0))*(Diário!$F$4:$F$2662))
+SUMPRODUCT(('Comp.'!$D$5:$D$402=$B166)*('Comp.'!$B$5:$B$402&gt;=F$4)*('Comp.'!$B$5:$B$402&lt;=EOMONTH(F$4,0))*('Comp.'!$E$5:$E$402))</f>
        <v>0</v>
      </c>
      <c r="G166" s="11">
        <f>SUMPRODUCT((Diário!$E$4:$E$2662='Analítico Cp.'!$B166)*(Diário!$C$4:$C$2662&gt;=G$4)*(Diário!$C$4:$C$2662&lt;=EOMONTH(G$4,0))*(Diário!$F$4:$F$2662))
+SUMPRODUCT(('Comp.'!$D$5:$D$402=$B166)*('Comp.'!$B$5:$B$402&gt;=G$4)*('Comp.'!$B$5:$B$402&lt;=EOMONTH(G$4,0))*('Comp.'!$E$5:$E$402))</f>
        <v>94341.200000000012</v>
      </c>
      <c r="H166" s="11">
        <f>SUMPRODUCT((Diário!$E$4:$E$2662='Analítico Cp.'!$B166)*(Diário!$C$4:$C$2662&gt;=H$4)*(Diário!$C$4:$C$2662&lt;=EOMONTH(H$4,0))*(Diário!$F$4:$F$2662))
+SUMPRODUCT(('Comp.'!$D$5:$D$402=$B166)*('Comp.'!$B$5:$B$402&gt;=H$4)*('Comp.'!$B$5:$B$402&lt;=EOMONTH(H$4,0))*('Comp.'!$E$5:$E$402))</f>
        <v>41652.75</v>
      </c>
      <c r="I166" s="11">
        <f>SUMPRODUCT((Diário!$E$4:$E$2662='Analítico Cp.'!$B166)*(Diário!$C$4:$C$2662&gt;=I$4)*(Diário!$C$4:$C$2662&lt;=EOMONTH(I$4,0))*(Diário!$F$4:$F$2662))
+SUMPRODUCT(('Comp.'!$D$5:$D$402=$B166)*('Comp.'!$B$5:$B$402&gt;=I$4)*('Comp.'!$B$5:$B$402&lt;=EOMONTH(I$4,0))*('Comp.'!$E$5:$E$402))</f>
        <v>0</v>
      </c>
      <c r="J166" s="11">
        <f>SUMPRODUCT((Diário!$E$4:$E$2662='Analítico Cp.'!$B166)*(Diário!$C$4:$C$2662&gt;=J$4)*(Diário!$C$4:$C$2662&lt;=EOMONTH(J$4,0))*(Diário!$F$4:$F$2662))
+SUMPRODUCT(('Comp.'!$D$5:$D$402=$B166)*('Comp.'!$B$5:$B$402&gt;=J$4)*('Comp.'!$B$5:$B$402&lt;=EOMONTH(J$4,0))*('Comp.'!$E$5:$E$402))</f>
        <v>0</v>
      </c>
      <c r="K166" s="11">
        <f>SUMPRODUCT((Diário!$E$4:$E$2662='Analítico Cp.'!$B166)*(Diário!$C$4:$C$2662&gt;=K$4)*(Diário!$C$4:$C$2662&lt;=EOMONTH(K$4,0))*(Diário!$F$4:$F$2662))
+SUMPRODUCT(('Comp.'!$D$5:$D$402=$B166)*('Comp.'!$B$5:$B$402&gt;=K$4)*('Comp.'!$B$5:$B$402&lt;=EOMONTH(K$4,0))*('Comp.'!$E$5:$E$402))</f>
        <v>0</v>
      </c>
      <c r="L166" s="11">
        <f>SUMPRODUCT((Diário!$E$4:$E$2662='Analítico Cp.'!$B166)*(Diário!$C$4:$C$2662&gt;=L$4)*(Diário!$C$4:$C$2662&lt;=EOMONTH(L$4,0))*(Diário!$F$4:$F$2662))
+SUMPRODUCT(('Comp.'!$D$5:$D$402=$B166)*('Comp.'!$B$5:$B$402&gt;=L$4)*('Comp.'!$B$5:$B$402&lt;=EOMONTH(L$4,0))*('Comp.'!$E$5:$E$402))</f>
        <v>0</v>
      </c>
      <c r="M166" s="11">
        <f>SUMPRODUCT((Diário!$E$4:$E$2662='Analítico Cp.'!$B166)*(Diário!$C$4:$C$2662&gt;=M$4)*(Diário!$C$4:$C$2662&lt;=EOMONTH(M$4,0))*(Diário!$F$4:$F$2662))
+SUMPRODUCT(('Comp.'!$D$5:$D$402=$B166)*('Comp.'!$B$5:$B$402&gt;=M$4)*('Comp.'!$B$5:$B$402&lt;=EOMONTH(M$4,0))*('Comp.'!$E$5:$E$402))</f>
        <v>0</v>
      </c>
      <c r="N166" s="11">
        <f>SUMPRODUCT((Diário!$E$4:$E$2662='Analítico Cp.'!$B166)*(Diário!$C$4:$C$2662&gt;=N$4)*(Diário!$C$4:$C$2662&lt;=EOMONTH(N$4,0))*(Diário!$F$4:$F$2662))
+SUMPRODUCT(('Comp.'!$D$5:$D$402=$B166)*('Comp.'!$B$5:$B$402&gt;=N$4)*('Comp.'!$B$5:$B$402&lt;=EOMONTH(N$4,0))*('Comp.'!$E$5:$E$402))</f>
        <v>0</v>
      </c>
      <c r="O166" s="12">
        <f t="shared" si="16"/>
        <v>144493.95000000001</v>
      </c>
      <c r="P166" s="95">
        <f t="shared" si="17"/>
        <v>7.2363805966369965E-3</v>
      </c>
    </row>
    <row r="167" spans="1:16" ht="23.25" customHeight="1">
      <c r="A167" s="40" t="s">
        <v>557</v>
      </c>
      <c r="B167" s="60" t="s">
        <v>504</v>
      </c>
      <c r="C167" s="11">
        <f>SUMPRODUCT((Diário!$E$4:$E$2662='Analítico Cp.'!$B167)*(Diário!$C$4:$C$2662&gt;=C$4)*(Diário!$C$4:$C$2662&lt;=EOMONTH(C$4,0))*(Diário!$F$4:$F$2662))
+SUMPRODUCT(('Comp.'!$D$5:$D$402=$B167)*('Comp.'!$B$5:$B$402&gt;=C$4)*('Comp.'!$B$5:$B$402&lt;=EOMONTH(C$4,0))*('Comp.'!$E$5:$E$402))</f>
        <v>600</v>
      </c>
      <c r="D167" s="11">
        <f>SUMPRODUCT((Diário!$E$4:$E$2662='Analítico Cp.'!$B167)*(Diário!$C$4:$C$2662&gt;=D$4)*(Diário!$C$4:$C$2662&lt;=EOMONTH(D$4,0))*(Diário!$F$4:$F$2662))
+SUMPRODUCT(('Comp.'!$D$5:$D$402=$B167)*('Comp.'!$B$5:$B$402&gt;=D$4)*('Comp.'!$B$5:$B$402&lt;=EOMONTH(D$4,0))*('Comp.'!$E$5:$E$402))</f>
        <v>0</v>
      </c>
      <c r="E167" s="11">
        <f>SUMPRODUCT((Diário!$E$4:$E$2662='Analítico Cp.'!$B167)*(Diário!$C$4:$C$2662&gt;=E$4)*(Diário!$C$4:$C$2662&lt;=EOMONTH(E$4,0))*(Diário!$F$4:$F$2662))
+SUMPRODUCT(('Comp.'!$D$5:$D$402=$B167)*('Comp.'!$B$5:$B$402&gt;=E$4)*('Comp.'!$B$5:$B$402&lt;=EOMONTH(E$4,0))*('Comp.'!$E$5:$E$402))</f>
        <v>252.99</v>
      </c>
      <c r="F167" s="11">
        <f>SUMPRODUCT((Diário!$E$4:$E$2662='Analítico Cp.'!$B167)*(Diário!$C$4:$C$2662&gt;=F$4)*(Diário!$C$4:$C$2662&lt;=EOMONTH(F$4,0))*(Diário!$F$4:$F$2662))
+SUMPRODUCT(('Comp.'!$D$5:$D$402=$B167)*('Comp.'!$B$5:$B$402&gt;=F$4)*('Comp.'!$B$5:$B$402&lt;=EOMONTH(F$4,0))*('Comp.'!$E$5:$E$402))</f>
        <v>2192</v>
      </c>
      <c r="G167" s="11">
        <f>SUMPRODUCT((Diário!$E$4:$E$2662='Analítico Cp.'!$B167)*(Diário!$C$4:$C$2662&gt;=G$4)*(Diário!$C$4:$C$2662&lt;=EOMONTH(G$4,0))*(Diário!$F$4:$F$2662))
+SUMPRODUCT(('Comp.'!$D$5:$D$402=$B167)*('Comp.'!$B$5:$B$402&gt;=G$4)*('Comp.'!$B$5:$B$402&lt;=EOMONTH(G$4,0))*('Comp.'!$E$5:$E$402))</f>
        <v>764</v>
      </c>
      <c r="H167" s="11">
        <f>SUMPRODUCT((Diário!$E$4:$E$2662='Analítico Cp.'!$B167)*(Diário!$C$4:$C$2662&gt;=H$4)*(Diário!$C$4:$C$2662&lt;=EOMONTH(H$4,0))*(Diário!$F$4:$F$2662))
+SUMPRODUCT(('Comp.'!$D$5:$D$402=$B167)*('Comp.'!$B$5:$B$402&gt;=H$4)*('Comp.'!$B$5:$B$402&lt;=EOMONTH(H$4,0))*('Comp.'!$E$5:$E$402))</f>
        <v>5869.46</v>
      </c>
      <c r="I167" s="11">
        <f>SUMPRODUCT((Diário!$E$4:$E$2662='Analítico Cp.'!$B167)*(Diário!$C$4:$C$2662&gt;=I$4)*(Diário!$C$4:$C$2662&lt;=EOMONTH(I$4,0))*(Diário!$F$4:$F$2662))
+SUMPRODUCT(('Comp.'!$D$5:$D$402=$B167)*('Comp.'!$B$5:$B$402&gt;=I$4)*('Comp.'!$B$5:$B$402&lt;=EOMONTH(I$4,0))*('Comp.'!$E$5:$E$402))</f>
        <v>0</v>
      </c>
      <c r="J167" s="11">
        <f>SUMPRODUCT((Diário!$E$4:$E$2662='Analítico Cp.'!$B167)*(Diário!$C$4:$C$2662&gt;=J$4)*(Diário!$C$4:$C$2662&lt;=EOMONTH(J$4,0))*(Diário!$F$4:$F$2662))
+SUMPRODUCT(('Comp.'!$D$5:$D$402=$B167)*('Comp.'!$B$5:$B$402&gt;=J$4)*('Comp.'!$B$5:$B$402&lt;=EOMONTH(J$4,0))*('Comp.'!$E$5:$E$402))</f>
        <v>0</v>
      </c>
      <c r="K167" s="11">
        <f>SUMPRODUCT((Diário!$E$4:$E$2662='Analítico Cp.'!$B167)*(Diário!$C$4:$C$2662&gt;=K$4)*(Diário!$C$4:$C$2662&lt;=EOMONTH(K$4,0))*(Diário!$F$4:$F$2662))
+SUMPRODUCT(('Comp.'!$D$5:$D$402=$B167)*('Comp.'!$B$5:$B$402&gt;=K$4)*('Comp.'!$B$5:$B$402&lt;=EOMONTH(K$4,0))*('Comp.'!$E$5:$E$402))</f>
        <v>0</v>
      </c>
      <c r="L167" s="11">
        <f>SUMPRODUCT((Diário!$E$4:$E$2662='Analítico Cp.'!$B167)*(Diário!$C$4:$C$2662&gt;=L$4)*(Diário!$C$4:$C$2662&lt;=EOMONTH(L$4,0))*(Diário!$F$4:$F$2662))
+SUMPRODUCT(('Comp.'!$D$5:$D$402=$B167)*('Comp.'!$B$5:$B$402&gt;=L$4)*('Comp.'!$B$5:$B$402&lt;=EOMONTH(L$4,0))*('Comp.'!$E$5:$E$402))</f>
        <v>0</v>
      </c>
      <c r="M167" s="11">
        <f>SUMPRODUCT((Diário!$E$4:$E$2662='Analítico Cp.'!$B167)*(Diário!$C$4:$C$2662&gt;=M$4)*(Diário!$C$4:$C$2662&lt;=EOMONTH(M$4,0))*(Diário!$F$4:$F$2662))
+SUMPRODUCT(('Comp.'!$D$5:$D$402=$B167)*('Comp.'!$B$5:$B$402&gt;=M$4)*('Comp.'!$B$5:$B$402&lt;=EOMONTH(M$4,0))*('Comp.'!$E$5:$E$402))</f>
        <v>0</v>
      </c>
      <c r="N167" s="11">
        <f>SUMPRODUCT((Diário!$E$4:$E$2662='Analítico Cp.'!$B167)*(Diário!$C$4:$C$2662&gt;=N$4)*(Diário!$C$4:$C$2662&lt;=EOMONTH(N$4,0))*(Diário!$F$4:$F$2662))
+SUMPRODUCT(('Comp.'!$D$5:$D$402=$B167)*('Comp.'!$B$5:$B$402&gt;=N$4)*('Comp.'!$B$5:$B$402&lt;=EOMONTH(N$4,0))*('Comp.'!$E$5:$E$402))</f>
        <v>0</v>
      </c>
      <c r="O167" s="12">
        <f t="shared" si="16"/>
        <v>9678.4500000000007</v>
      </c>
      <c r="P167" s="95">
        <f t="shared" si="17"/>
        <v>4.8470505364080186E-4</v>
      </c>
    </row>
    <row r="168" spans="1:16" ht="23.25" customHeight="1">
      <c r="A168" s="40" t="s">
        <v>558</v>
      </c>
      <c r="B168" s="60" t="s">
        <v>505</v>
      </c>
      <c r="C168" s="11">
        <f>SUMPRODUCT((Diário!$E$4:$E$2662='Analítico Cp.'!$B168)*(Diário!$C$4:$C$2662&gt;=C$4)*(Diário!$C$4:$C$2662&lt;=EOMONTH(C$4,0))*(Diário!$F$4:$F$2662))
+SUMPRODUCT(('Comp.'!$D$5:$D$402=$B168)*('Comp.'!$B$5:$B$402&gt;=C$4)*('Comp.'!$B$5:$B$402&lt;=EOMONTH(C$4,0))*('Comp.'!$E$5:$E$402))</f>
        <v>14048.880000000001</v>
      </c>
      <c r="D168" s="11">
        <f>SUMPRODUCT((Diário!$E$4:$E$2662='Analítico Cp.'!$B168)*(Diário!$C$4:$C$2662&gt;=D$4)*(Diário!$C$4:$C$2662&lt;=EOMONTH(D$4,0))*(Diário!$F$4:$F$2662))
+SUMPRODUCT(('Comp.'!$D$5:$D$402=$B168)*('Comp.'!$B$5:$B$402&gt;=D$4)*('Comp.'!$B$5:$B$402&lt;=EOMONTH(D$4,0))*('Comp.'!$E$5:$E$402))</f>
        <v>11529.82</v>
      </c>
      <c r="E168" s="11">
        <f>SUMPRODUCT((Diário!$E$4:$E$2662='Analítico Cp.'!$B168)*(Diário!$C$4:$C$2662&gt;=E$4)*(Diário!$C$4:$C$2662&lt;=EOMONTH(E$4,0))*(Diário!$F$4:$F$2662))
+SUMPRODUCT(('Comp.'!$D$5:$D$402=$B168)*('Comp.'!$B$5:$B$402&gt;=E$4)*('Comp.'!$B$5:$B$402&lt;=EOMONTH(E$4,0))*('Comp.'!$E$5:$E$402))</f>
        <v>11764.459999999997</v>
      </c>
      <c r="F168" s="11">
        <f>SUMPRODUCT((Diário!$E$4:$E$2662='Analítico Cp.'!$B168)*(Diário!$C$4:$C$2662&gt;=F$4)*(Diário!$C$4:$C$2662&lt;=EOMONTH(F$4,0))*(Diário!$F$4:$F$2662))
+SUMPRODUCT(('Comp.'!$D$5:$D$402=$B168)*('Comp.'!$B$5:$B$402&gt;=F$4)*('Comp.'!$B$5:$B$402&lt;=EOMONTH(F$4,0))*('Comp.'!$E$5:$E$402))</f>
        <v>56565.14</v>
      </c>
      <c r="G168" s="11">
        <f>SUMPRODUCT((Diário!$E$4:$E$2662='Analítico Cp.'!$B168)*(Diário!$C$4:$C$2662&gt;=G$4)*(Diário!$C$4:$C$2662&lt;=EOMONTH(G$4,0))*(Diário!$F$4:$F$2662))
+SUMPRODUCT(('Comp.'!$D$5:$D$402=$B168)*('Comp.'!$B$5:$B$402&gt;=G$4)*('Comp.'!$B$5:$B$402&lt;=EOMONTH(G$4,0))*('Comp.'!$E$5:$E$402))</f>
        <v>20915.969999999998</v>
      </c>
      <c r="H168" s="11">
        <f>SUMPRODUCT((Diário!$E$4:$E$2662='Analítico Cp.'!$B168)*(Diário!$C$4:$C$2662&gt;=H$4)*(Diário!$C$4:$C$2662&lt;=EOMONTH(H$4,0))*(Diário!$F$4:$F$2662))
+SUMPRODUCT(('Comp.'!$D$5:$D$402=$B168)*('Comp.'!$B$5:$B$402&gt;=H$4)*('Comp.'!$B$5:$B$402&lt;=EOMONTH(H$4,0))*('Comp.'!$E$5:$E$402))</f>
        <v>16717.819999999992</v>
      </c>
      <c r="I168" s="11">
        <f>SUMPRODUCT((Diário!$E$4:$E$2662='Analítico Cp.'!$B168)*(Diário!$C$4:$C$2662&gt;=I$4)*(Diário!$C$4:$C$2662&lt;=EOMONTH(I$4,0))*(Diário!$F$4:$F$2662))
+SUMPRODUCT(('Comp.'!$D$5:$D$402=$B168)*('Comp.'!$B$5:$B$402&gt;=I$4)*('Comp.'!$B$5:$B$402&lt;=EOMONTH(I$4,0))*('Comp.'!$E$5:$E$402))</f>
        <v>0</v>
      </c>
      <c r="J168" s="11">
        <f>SUMPRODUCT((Diário!$E$4:$E$2662='Analítico Cp.'!$B168)*(Diário!$C$4:$C$2662&gt;=J$4)*(Diário!$C$4:$C$2662&lt;=EOMONTH(J$4,0))*(Diário!$F$4:$F$2662))
+SUMPRODUCT(('Comp.'!$D$5:$D$402=$B168)*('Comp.'!$B$5:$B$402&gt;=J$4)*('Comp.'!$B$5:$B$402&lt;=EOMONTH(J$4,0))*('Comp.'!$E$5:$E$402))</f>
        <v>0</v>
      </c>
      <c r="K168" s="11">
        <f>SUMPRODUCT((Diário!$E$4:$E$2662='Analítico Cp.'!$B168)*(Diário!$C$4:$C$2662&gt;=K$4)*(Diário!$C$4:$C$2662&lt;=EOMONTH(K$4,0))*(Diário!$F$4:$F$2662))
+SUMPRODUCT(('Comp.'!$D$5:$D$402=$B168)*('Comp.'!$B$5:$B$402&gt;=K$4)*('Comp.'!$B$5:$B$402&lt;=EOMONTH(K$4,0))*('Comp.'!$E$5:$E$402))</f>
        <v>0</v>
      </c>
      <c r="L168" s="11">
        <f>SUMPRODUCT((Diário!$E$4:$E$2662='Analítico Cp.'!$B168)*(Diário!$C$4:$C$2662&gt;=L$4)*(Diário!$C$4:$C$2662&lt;=EOMONTH(L$4,0))*(Diário!$F$4:$F$2662))
+SUMPRODUCT(('Comp.'!$D$5:$D$402=$B168)*('Comp.'!$B$5:$B$402&gt;=L$4)*('Comp.'!$B$5:$B$402&lt;=EOMONTH(L$4,0))*('Comp.'!$E$5:$E$402))</f>
        <v>0</v>
      </c>
      <c r="M168" s="11">
        <f>SUMPRODUCT((Diário!$E$4:$E$2662='Analítico Cp.'!$B168)*(Diário!$C$4:$C$2662&gt;=M$4)*(Diário!$C$4:$C$2662&lt;=EOMONTH(M$4,0))*(Diário!$F$4:$F$2662))
+SUMPRODUCT(('Comp.'!$D$5:$D$402=$B168)*('Comp.'!$B$5:$B$402&gt;=M$4)*('Comp.'!$B$5:$B$402&lt;=EOMONTH(M$4,0))*('Comp.'!$E$5:$E$402))</f>
        <v>0</v>
      </c>
      <c r="N168" s="11">
        <f>SUMPRODUCT((Diário!$E$4:$E$2662='Analítico Cp.'!$B168)*(Diário!$C$4:$C$2662&gt;=N$4)*(Diário!$C$4:$C$2662&lt;=EOMONTH(N$4,0))*(Diário!$F$4:$F$2662))
+SUMPRODUCT(('Comp.'!$D$5:$D$402=$B168)*('Comp.'!$B$5:$B$402&gt;=N$4)*('Comp.'!$B$5:$B$402&lt;=EOMONTH(N$4,0))*('Comp.'!$E$5:$E$402))</f>
        <v>0</v>
      </c>
      <c r="O168" s="12">
        <f t="shared" si="16"/>
        <v>131542.08999999997</v>
      </c>
      <c r="P168" s="95">
        <f t="shared" si="17"/>
        <v>6.5877403705627618E-3</v>
      </c>
    </row>
    <row r="169" spans="1:16" ht="23.25" customHeight="1">
      <c r="A169" s="40" t="s">
        <v>559</v>
      </c>
      <c r="B169" s="60" t="s">
        <v>506</v>
      </c>
      <c r="C169" s="11">
        <f>SUMPRODUCT((Diário!$E$4:$E$2662='Analítico Cp.'!$B169)*(Diário!$C$4:$C$2662&gt;=C$4)*(Diário!$C$4:$C$2662&lt;=EOMONTH(C$4,0))*(Diário!$F$4:$F$2662))
+SUMPRODUCT(('Comp.'!$D$5:$D$402=$B169)*('Comp.'!$B$5:$B$402&gt;=C$4)*('Comp.'!$B$5:$B$402&lt;=EOMONTH(C$4,0))*('Comp.'!$E$5:$E$402))</f>
        <v>2245.42</v>
      </c>
      <c r="D169" s="11">
        <f>SUMPRODUCT((Diário!$E$4:$E$2662='Analítico Cp.'!$B169)*(Diário!$C$4:$C$2662&gt;=D$4)*(Diário!$C$4:$C$2662&lt;=EOMONTH(D$4,0))*(Diário!$F$4:$F$2662))
+SUMPRODUCT(('Comp.'!$D$5:$D$402=$B169)*('Comp.'!$B$5:$B$402&gt;=D$4)*('Comp.'!$B$5:$B$402&lt;=EOMONTH(D$4,0))*('Comp.'!$E$5:$E$402))</f>
        <v>64153.96</v>
      </c>
      <c r="E169" s="11">
        <f>SUMPRODUCT((Diário!$E$4:$E$2662='Analítico Cp.'!$B169)*(Diário!$C$4:$C$2662&gt;=E$4)*(Diário!$C$4:$C$2662&lt;=EOMONTH(E$4,0))*(Diário!$F$4:$F$2662))
+SUMPRODUCT(('Comp.'!$D$5:$D$402=$B169)*('Comp.'!$B$5:$B$402&gt;=E$4)*('Comp.'!$B$5:$B$402&lt;=EOMONTH(E$4,0))*('Comp.'!$E$5:$E$402))</f>
        <v>13387.960000000001</v>
      </c>
      <c r="F169" s="11">
        <f>SUMPRODUCT((Diário!$E$4:$E$2662='Analítico Cp.'!$B169)*(Diário!$C$4:$C$2662&gt;=F$4)*(Diário!$C$4:$C$2662&lt;=EOMONTH(F$4,0))*(Diário!$F$4:$F$2662))
+SUMPRODUCT(('Comp.'!$D$5:$D$402=$B169)*('Comp.'!$B$5:$B$402&gt;=F$4)*('Comp.'!$B$5:$B$402&lt;=EOMONTH(F$4,0))*('Comp.'!$E$5:$E$402))</f>
        <v>7586.9099999999989</v>
      </c>
      <c r="G169" s="11">
        <f>SUMPRODUCT((Diário!$E$4:$E$2662='Analítico Cp.'!$B169)*(Diário!$C$4:$C$2662&gt;=G$4)*(Diário!$C$4:$C$2662&lt;=EOMONTH(G$4,0))*(Diário!$F$4:$F$2662))
+SUMPRODUCT(('Comp.'!$D$5:$D$402=$B169)*('Comp.'!$B$5:$B$402&gt;=G$4)*('Comp.'!$B$5:$B$402&lt;=EOMONTH(G$4,0))*('Comp.'!$E$5:$E$402))</f>
        <v>774.01</v>
      </c>
      <c r="H169" s="11">
        <f>SUMPRODUCT((Diário!$E$4:$E$2662='Analítico Cp.'!$B169)*(Diário!$C$4:$C$2662&gt;=H$4)*(Diário!$C$4:$C$2662&lt;=EOMONTH(H$4,0))*(Diário!$F$4:$F$2662))
+SUMPRODUCT(('Comp.'!$D$5:$D$402=$B169)*('Comp.'!$B$5:$B$402&gt;=H$4)*('Comp.'!$B$5:$B$402&lt;=EOMONTH(H$4,0))*('Comp.'!$E$5:$E$402))</f>
        <v>11942.68</v>
      </c>
      <c r="I169" s="11">
        <f>SUMPRODUCT((Diário!$E$4:$E$2662='Analítico Cp.'!$B169)*(Diário!$C$4:$C$2662&gt;=I$4)*(Diário!$C$4:$C$2662&lt;=EOMONTH(I$4,0))*(Diário!$F$4:$F$2662))
+SUMPRODUCT(('Comp.'!$D$5:$D$402=$B169)*('Comp.'!$B$5:$B$402&gt;=I$4)*('Comp.'!$B$5:$B$402&lt;=EOMONTH(I$4,0))*('Comp.'!$E$5:$E$402))</f>
        <v>0</v>
      </c>
      <c r="J169" s="11">
        <f>SUMPRODUCT((Diário!$E$4:$E$2662='Analítico Cp.'!$B169)*(Diário!$C$4:$C$2662&gt;=J$4)*(Diário!$C$4:$C$2662&lt;=EOMONTH(J$4,0))*(Diário!$F$4:$F$2662))
+SUMPRODUCT(('Comp.'!$D$5:$D$402=$B169)*('Comp.'!$B$5:$B$402&gt;=J$4)*('Comp.'!$B$5:$B$402&lt;=EOMONTH(J$4,0))*('Comp.'!$E$5:$E$402))</f>
        <v>0</v>
      </c>
      <c r="K169" s="11">
        <f>SUMPRODUCT((Diário!$E$4:$E$2662='Analítico Cp.'!$B169)*(Diário!$C$4:$C$2662&gt;=K$4)*(Diário!$C$4:$C$2662&lt;=EOMONTH(K$4,0))*(Diário!$F$4:$F$2662))
+SUMPRODUCT(('Comp.'!$D$5:$D$402=$B169)*('Comp.'!$B$5:$B$402&gt;=K$4)*('Comp.'!$B$5:$B$402&lt;=EOMONTH(K$4,0))*('Comp.'!$E$5:$E$402))</f>
        <v>0</v>
      </c>
      <c r="L169" s="11">
        <f>SUMPRODUCT((Diário!$E$4:$E$2662='Analítico Cp.'!$B169)*(Diário!$C$4:$C$2662&gt;=L$4)*(Diário!$C$4:$C$2662&lt;=EOMONTH(L$4,0))*(Diário!$F$4:$F$2662))
+SUMPRODUCT(('Comp.'!$D$5:$D$402=$B169)*('Comp.'!$B$5:$B$402&gt;=L$4)*('Comp.'!$B$5:$B$402&lt;=EOMONTH(L$4,0))*('Comp.'!$E$5:$E$402))</f>
        <v>0</v>
      </c>
      <c r="M169" s="11">
        <f>SUMPRODUCT((Diário!$E$4:$E$2662='Analítico Cp.'!$B169)*(Diário!$C$4:$C$2662&gt;=M$4)*(Diário!$C$4:$C$2662&lt;=EOMONTH(M$4,0))*(Diário!$F$4:$F$2662))
+SUMPRODUCT(('Comp.'!$D$5:$D$402=$B169)*('Comp.'!$B$5:$B$402&gt;=M$4)*('Comp.'!$B$5:$B$402&lt;=EOMONTH(M$4,0))*('Comp.'!$E$5:$E$402))</f>
        <v>0</v>
      </c>
      <c r="N169" s="11">
        <f>SUMPRODUCT((Diário!$E$4:$E$2662='Analítico Cp.'!$B169)*(Diário!$C$4:$C$2662&gt;=N$4)*(Diário!$C$4:$C$2662&lt;=EOMONTH(N$4,0))*(Diário!$F$4:$F$2662))
+SUMPRODUCT(('Comp.'!$D$5:$D$402=$B169)*('Comp.'!$B$5:$B$402&gt;=N$4)*('Comp.'!$B$5:$B$402&lt;=EOMONTH(N$4,0))*('Comp.'!$E$5:$E$402))</f>
        <v>0</v>
      </c>
      <c r="O169" s="12">
        <f t="shared" si="16"/>
        <v>100090.94</v>
      </c>
      <c r="P169" s="95">
        <f t="shared" si="17"/>
        <v>5.0126398794908562E-3</v>
      </c>
    </row>
    <row r="170" spans="1:16" ht="23.25" customHeight="1">
      <c r="A170" s="40" t="s">
        <v>560</v>
      </c>
      <c r="B170" s="60" t="s">
        <v>268</v>
      </c>
      <c r="C170" s="11">
        <f>SUMPRODUCT((Diário!$E$4:$E$2662='Analítico Cp.'!$B170)*(Diário!$C$4:$C$2662&gt;=C$4)*(Diário!$C$4:$C$2662&lt;=EOMONTH(C$4,0))*(Diário!$F$4:$F$2662))
+SUMPRODUCT(('Comp.'!$D$5:$D$402=$B170)*('Comp.'!$B$5:$B$402&gt;=C$4)*('Comp.'!$B$5:$B$402&lt;=EOMONTH(C$4,0))*('Comp.'!$E$5:$E$402))</f>
        <v>0</v>
      </c>
      <c r="D170" s="11">
        <f>SUMPRODUCT((Diário!$E$4:$E$2662='Analítico Cp.'!$B170)*(Diário!$C$4:$C$2662&gt;=D$4)*(Diário!$C$4:$C$2662&lt;=EOMONTH(D$4,0))*(Diário!$F$4:$F$2662))
+SUMPRODUCT(('Comp.'!$D$5:$D$402=$B170)*('Comp.'!$B$5:$B$402&gt;=D$4)*('Comp.'!$B$5:$B$402&lt;=EOMONTH(D$4,0))*('Comp.'!$E$5:$E$402))</f>
        <v>0</v>
      </c>
      <c r="E170" s="11">
        <f>SUMPRODUCT((Diário!$E$4:$E$2662='Analítico Cp.'!$B170)*(Diário!$C$4:$C$2662&gt;=E$4)*(Diário!$C$4:$C$2662&lt;=EOMONTH(E$4,0))*(Diário!$F$4:$F$2662))
+SUMPRODUCT(('Comp.'!$D$5:$D$402=$B170)*('Comp.'!$B$5:$B$402&gt;=E$4)*('Comp.'!$B$5:$B$402&lt;=EOMONTH(E$4,0))*('Comp.'!$E$5:$E$402))</f>
        <v>0</v>
      </c>
      <c r="F170" s="11">
        <f>SUMPRODUCT((Diário!$E$4:$E$2662='Analítico Cp.'!$B170)*(Diário!$C$4:$C$2662&gt;=F$4)*(Diário!$C$4:$C$2662&lt;=EOMONTH(F$4,0))*(Diário!$F$4:$F$2662))
+SUMPRODUCT(('Comp.'!$D$5:$D$402=$B170)*('Comp.'!$B$5:$B$402&gt;=F$4)*('Comp.'!$B$5:$B$402&lt;=EOMONTH(F$4,0))*('Comp.'!$E$5:$E$402))</f>
        <v>0</v>
      </c>
      <c r="G170" s="11">
        <f>SUMPRODUCT((Diário!$E$4:$E$2662='Analítico Cp.'!$B170)*(Diário!$C$4:$C$2662&gt;=G$4)*(Diário!$C$4:$C$2662&lt;=EOMONTH(G$4,0))*(Diário!$F$4:$F$2662))
+SUMPRODUCT(('Comp.'!$D$5:$D$402=$B170)*('Comp.'!$B$5:$B$402&gt;=G$4)*('Comp.'!$B$5:$B$402&lt;=EOMONTH(G$4,0))*('Comp.'!$E$5:$E$402))</f>
        <v>0</v>
      </c>
      <c r="H170" s="11">
        <f>SUMPRODUCT((Diário!$E$4:$E$2662='Analítico Cp.'!$B170)*(Diário!$C$4:$C$2662&gt;=H$4)*(Diário!$C$4:$C$2662&lt;=EOMONTH(H$4,0))*(Diário!$F$4:$F$2662))
+SUMPRODUCT(('Comp.'!$D$5:$D$402=$B170)*('Comp.'!$B$5:$B$402&gt;=H$4)*('Comp.'!$B$5:$B$402&lt;=EOMONTH(H$4,0))*('Comp.'!$E$5:$E$402))</f>
        <v>0</v>
      </c>
      <c r="I170" s="11">
        <f>SUMPRODUCT((Diário!$E$4:$E$2662='Analítico Cp.'!$B170)*(Diário!$C$4:$C$2662&gt;=I$4)*(Diário!$C$4:$C$2662&lt;=EOMONTH(I$4,0))*(Diário!$F$4:$F$2662))
+SUMPRODUCT(('Comp.'!$D$5:$D$402=$B170)*('Comp.'!$B$5:$B$402&gt;=I$4)*('Comp.'!$B$5:$B$402&lt;=EOMONTH(I$4,0))*('Comp.'!$E$5:$E$402))</f>
        <v>0</v>
      </c>
      <c r="J170" s="11">
        <f>SUMPRODUCT((Diário!$E$4:$E$2662='Analítico Cp.'!$B170)*(Diário!$C$4:$C$2662&gt;=J$4)*(Diário!$C$4:$C$2662&lt;=EOMONTH(J$4,0))*(Diário!$F$4:$F$2662))
+SUMPRODUCT(('Comp.'!$D$5:$D$402=$B170)*('Comp.'!$B$5:$B$402&gt;=J$4)*('Comp.'!$B$5:$B$402&lt;=EOMONTH(J$4,0))*('Comp.'!$E$5:$E$402))</f>
        <v>0</v>
      </c>
      <c r="K170" s="11">
        <f>SUMPRODUCT((Diário!$E$4:$E$2662='Analítico Cp.'!$B170)*(Diário!$C$4:$C$2662&gt;=K$4)*(Diário!$C$4:$C$2662&lt;=EOMONTH(K$4,0))*(Diário!$F$4:$F$2662))
+SUMPRODUCT(('Comp.'!$D$5:$D$402=$B170)*('Comp.'!$B$5:$B$402&gt;=K$4)*('Comp.'!$B$5:$B$402&lt;=EOMONTH(K$4,0))*('Comp.'!$E$5:$E$402))</f>
        <v>0</v>
      </c>
      <c r="L170" s="11">
        <f>SUMPRODUCT((Diário!$E$4:$E$2662='Analítico Cp.'!$B170)*(Diário!$C$4:$C$2662&gt;=L$4)*(Diário!$C$4:$C$2662&lt;=EOMONTH(L$4,0))*(Diário!$F$4:$F$2662))
+SUMPRODUCT(('Comp.'!$D$5:$D$402=$B170)*('Comp.'!$B$5:$B$402&gt;=L$4)*('Comp.'!$B$5:$B$402&lt;=EOMONTH(L$4,0))*('Comp.'!$E$5:$E$402))</f>
        <v>0</v>
      </c>
      <c r="M170" s="11">
        <f>SUMPRODUCT((Diário!$E$4:$E$2662='Analítico Cp.'!$B170)*(Diário!$C$4:$C$2662&gt;=M$4)*(Diário!$C$4:$C$2662&lt;=EOMONTH(M$4,0))*(Diário!$F$4:$F$2662))
+SUMPRODUCT(('Comp.'!$D$5:$D$402=$B170)*('Comp.'!$B$5:$B$402&gt;=M$4)*('Comp.'!$B$5:$B$402&lt;=EOMONTH(M$4,0))*('Comp.'!$E$5:$E$402))</f>
        <v>0</v>
      </c>
      <c r="N170" s="11">
        <f>SUMPRODUCT((Diário!$E$4:$E$2662='Analítico Cp.'!$B170)*(Diário!$C$4:$C$2662&gt;=N$4)*(Diário!$C$4:$C$2662&lt;=EOMONTH(N$4,0))*(Diário!$F$4:$F$2662))
+SUMPRODUCT(('Comp.'!$D$5:$D$402=$B170)*('Comp.'!$B$5:$B$402&gt;=N$4)*('Comp.'!$B$5:$B$402&lt;=EOMONTH(N$4,0))*('Comp.'!$E$5:$E$402))</f>
        <v>0</v>
      </c>
      <c r="O170" s="12">
        <f t="shared" si="16"/>
        <v>0</v>
      </c>
      <c r="P170" s="95">
        <f t="shared" si="17"/>
        <v>0</v>
      </c>
    </row>
    <row r="171" spans="1:16" ht="23.25" customHeight="1" thickBot="1">
      <c r="A171" s="231"/>
      <c r="B171" s="232" t="s">
        <v>356</v>
      </c>
      <c r="C171" s="249">
        <f t="shared" ref="C171:O171" si="18">SUBTOTAL(109,C57:C170)</f>
        <v>592379.17000000004</v>
      </c>
      <c r="D171" s="249">
        <f t="shared" si="18"/>
        <v>1021830.9099999999</v>
      </c>
      <c r="E171" s="249">
        <f t="shared" si="18"/>
        <v>1073155.4500000002</v>
      </c>
      <c r="F171" s="249">
        <f t="shared" si="18"/>
        <v>1433634.4999999998</v>
      </c>
      <c r="G171" s="249">
        <f t="shared" si="18"/>
        <v>1132754.2701000003</v>
      </c>
      <c r="H171" s="249">
        <f t="shared" si="18"/>
        <v>1465987.89</v>
      </c>
      <c r="I171" s="249">
        <f t="shared" si="18"/>
        <v>97545.36</v>
      </c>
      <c r="J171" s="249">
        <f t="shared" si="18"/>
        <v>0</v>
      </c>
      <c r="K171" s="249">
        <f t="shared" si="18"/>
        <v>0</v>
      </c>
      <c r="L171" s="249">
        <f t="shared" si="18"/>
        <v>0</v>
      </c>
      <c r="M171" s="249">
        <f t="shared" si="18"/>
        <v>0</v>
      </c>
      <c r="N171" s="249">
        <f t="shared" si="18"/>
        <v>0</v>
      </c>
      <c r="O171" s="249">
        <f t="shared" si="18"/>
        <v>6817287.5500999996</v>
      </c>
      <c r="P171" s="233">
        <f>IF($O$189=0,0,O171/$O$189)</f>
        <v>0.34141559109733383</v>
      </c>
    </row>
    <row r="172" spans="1:16" ht="23.25" customHeight="1" thickBot="1">
      <c r="A172" s="227" t="s">
        <v>40</v>
      </c>
      <c r="B172" s="212" t="s">
        <v>132</v>
      </c>
      <c r="C172" s="248"/>
      <c r="D172" s="248"/>
      <c r="E172" s="248"/>
      <c r="F172" s="248"/>
      <c r="G172" s="248"/>
      <c r="H172" s="248"/>
      <c r="I172" s="248"/>
      <c r="J172" s="248"/>
      <c r="K172" s="248"/>
      <c r="L172" s="248"/>
      <c r="M172" s="248"/>
      <c r="N172" s="248"/>
      <c r="O172" s="248"/>
      <c r="P172" s="194"/>
    </row>
    <row r="173" spans="1:16" ht="23.25" customHeight="1">
      <c r="A173" s="40" t="s">
        <v>29</v>
      </c>
      <c r="B173" s="38" t="s">
        <v>215</v>
      </c>
      <c r="C173" s="11">
        <f>SUMPRODUCT((Diário!$E$4:$E$2662='Analítico Cp.'!$B173)*(Diário!$C$4:$C$2662&gt;=C$4)*(Diário!$C$4:$C$2662&lt;=EOMONTH(C$4,0))*(Diário!$F$4:$F$2662))
+SUMPRODUCT(('Comp.'!$D$5:$D$402=$B173)*('Comp.'!$B$5:$B$402&gt;=C$4)*('Comp.'!$B$5:$B$402&lt;=EOMONTH(C$4,0))*('Comp.'!$E$5:$E$402))</f>
        <v>0</v>
      </c>
      <c r="D173" s="11">
        <f>SUMPRODUCT((Diário!$E$4:$E$2662='Analítico Cp.'!$B173)*(Diário!$C$4:$C$2662&gt;=D$4)*(Diário!$C$4:$C$2662&lt;=EOMONTH(D$4,0))*(Diário!$F$4:$F$2662))
+SUMPRODUCT(('Comp.'!$D$5:$D$402=$B173)*('Comp.'!$B$5:$B$402&gt;=D$4)*('Comp.'!$B$5:$B$402&lt;=EOMONTH(D$4,0))*('Comp.'!$E$5:$E$402))</f>
        <v>0</v>
      </c>
      <c r="E173" s="11">
        <f>SUMPRODUCT((Diário!$E$4:$E$2662='Analítico Cp.'!$B173)*(Diário!$C$4:$C$2662&gt;=E$4)*(Diário!$C$4:$C$2662&lt;=EOMONTH(E$4,0))*(Diário!$F$4:$F$2662))
+SUMPRODUCT(('Comp.'!$D$5:$D$402=$B173)*('Comp.'!$B$5:$B$402&gt;=E$4)*('Comp.'!$B$5:$B$402&lt;=EOMONTH(E$4,0))*('Comp.'!$E$5:$E$402))</f>
        <v>0</v>
      </c>
      <c r="F173" s="11">
        <f>SUMPRODUCT((Diário!$E$4:$E$2662='Analítico Cp.'!$B173)*(Diário!$C$4:$C$2662&gt;=F$4)*(Diário!$C$4:$C$2662&lt;=EOMONTH(F$4,0))*(Diário!$F$4:$F$2662))
+SUMPRODUCT(('Comp.'!$D$5:$D$402=$B173)*('Comp.'!$B$5:$B$402&gt;=F$4)*('Comp.'!$B$5:$B$402&lt;=EOMONTH(F$4,0))*('Comp.'!$E$5:$E$402))</f>
        <v>0</v>
      </c>
      <c r="G173" s="11">
        <f>SUMPRODUCT((Diário!$E$4:$E$2662='Analítico Cp.'!$B173)*(Diário!$C$4:$C$2662&gt;=G$4)*(Diário!$C$4:$C$2662&lt;=EOMONTH(G$4,0))*(Diário!$F$4:$F$2662))
+SUMPRODUCT(('Comp.'!$D$5:$D$402=$B173)*('Comp.'!$B$5:$B$402&gt;=G$4)*('Comp.'!$B$5:$B$402&lt;=EOMONTH(G$4,0))*('Comp.'!$E$5:$E$402))</f>
        <v>0</v>
      </c>
      <c r="H173" s="11">
        <f>SUMPRODUCT((Diário!$E$4:$E$2662='Analítico Cp.'!$B173)*(Diário!$C$4:$C$2662&gt;=H$4)*(Diário!$C$4:$C$2662&lt;=EOMONTH(H$4,0))*(Diário!$F$4:$F$2662))
+SUMPRODUCT(('Comp.'!$D$5:$D$402=$B173)*('Comp.'!$B$5:$B$402&gt;=H$4)*('Comp.'!$B$5:$B$402&lt;=EOMONTH(H$4,0))*('Comp.'!$E$5:$E$402))</f>
        <v>0</v>
      </c>
      <c r="I173" s="11">
        <f>SUMPRODUCT((Diário!$E$4:$E$2662='Analítico Cp.'!$B173)*(Diário!$C$4:$C$2662&gt;=I$4)*(Diário!$C$4:$C$2662&lt;=EOMONTH(I$4,0))*(Diário!$F$4:$F$2662))
+SUMPRODUCT(('Comp.'!$D$5:$D$402=$B173)*('Comp.'!$B$5:$B$402&gt;=I$4)*('Comp.'!$B$5:$B$402&lt;=EOMONTH(I$4,0))*('Comp.'!$E$5:$E$402))</f>
        <v>0</v>
      </c>
      <c r="J173" s="11">
        <f>SUMPRODUCT((Diário!$E$4:$E$2662='Analítico Cp.'!$B173)*(Diário!$C$4:$C$2662&gt;=J$4)*(Diário!$C$4:$C$2662&lt;=EOMONTH(J$4,0))*(Diário!$F$4:$F$2662))
+SUMPRODUCT(('Comp.'!$D$5:$D$402=$B173)*('Comp.'!$B$5:$B$402&gt;=J$4)*('Comp.'!$B$5:$B$402&lt;=EOMONTH(J$4,0))*('Comp.'!$E$5:$E$402))</f>
        <v>0</v>
      </c>
      <c r="K173" s="11">
        <f>SUMPRODUCT((Diário!$E$4:$E$2662='Analítico Cp.'!$B173)*(Diário!$C$4:$C$2662&gt;=K$4)*(Diário!$C$4:$C$2662&lt;=EOMONTH(K$4,0))*(Diário!$F$4:$F$2662))
+SUMPRODUCT(('Comp.'!$D$5:$D$402=$B173)*('Comp.'!$B$5:$B$402&gt;=K$4)*('Comp.'!$B$5:$B$402&lt;=EOMONTH(K$4,0))*('Comp.'!$E$5:$E$402))</f>
        <v>0</v>
      </c>
      <c r="L173" s="11">
        <f>SUMPRODUCT((Diário!$E$4:$E$2662='Analítico Cp.'!$B173)*(Diário!$C$4:$C$2662&gt;=L$4)*(Diário!$C$4:$C$2662&lt;=EOMONTH(L$4,0))*(Diário!$F$4:$F$2662))
+SUMPRODUCT(('Comp.'!$D$5:$D$402=$B173)*('Comp.'!$B$5:$B$402&gt;=L$4)*('Comp.'!$B$5:$B$402&lt;=EOMONTH(L$4,0))*('Comp.'!$E$5:$E$402))</f>
        <v>0</v>
      </c>
      <c r="M173" s="11">
        <f>SUMPRODUCT((Diário!$E$4:$E$2662='Analítico Cp.'!$B173)*(Diário!$C$4:$C$2662&gt;=M$4)*(Diário!$C$4:$C$2662&lt;=EOMONTH(M$4,0))*(Diário!$F$4:$F$2662))
+SUMPRODUCT(('Comp.'!$D$5:$D$402=$B173)*('Comp.'!$B$5:$B$402&gt;=M$4)*('Comp.'!$B$5:$B$402&lt;=EOMONTH(M$4,0))*('Comp.'!$E$5:$E$402))</f>
        <v>0</v>
      </c>
      <c r="N173" s="11">
        <f>SUMPRODUCT((Diário!$E$4:$E$2662='Analítico Cp.'!$B173)*(Diário!$C$4:$C$2662&gt;=N$4)*(Diário!$C$4:$C$2662&lt;=EOMONTH(N$4,0))*(Diário!$F$4:$F$2662))
+SUMPRODUCT(('Comp.'!$D$5:$D$402=$B173)*('Comp.'!$B$5:$B$402&gt;=N$4)*('Comp.'!$B$5:$B$402&lt;=EOMONTH(N$4,0))*('Comp.'!$E$5:$E$402))</f>
        <v>0</v>
      </c>
      <c r="O173" s="12">
        <f t="shared" ref="O173:O188" si="19">SUM(C173:N173)</f>
        <v>0</v>
      </c>
      <c r="P173" s="95">
        <f t="shared" ref="P173:P189" si="20">IF($O$189=0,0,O173/$O$189)</f>
        <v>0</v>
      </c>
    </row>
    <row r="174" spans="1:16" ht="23.25" customHeight="1">
      <c r="A174" s="40" t="s">
        <v>23</v>
      </c>
      <c r="B174" s="38" t="s">
        <v>209</v>
      </c>
      <c r="C174" s="11">
        <f>SUMPRODUCT((Diário!$E$4:$E$2662='Analítico Cp.'!$B174)*(Diário!$C$4:$C$2662&gt;=C$4)*(Diário!$C$4:$C$2662&lt;=EOMONTH(C$4,0))*(Diário!$F$4:$F$2662))
+SUMPRODUCT(('Comp.'!$D$5:$D$402=$B174)*('Comp.'!$B$5:$B$402&gt;=C$4)*('Comp.'!$B$5:$B$402&lt;=EOMONTH(C$4,0))*('Comp.'!$E$5:$E$402))</f>
        <v>0</v>
      </c>
      <c r="D174" s="11">
        <f>SUMPRODUCT((Diário!$E$4:$E$2662='Analítico Cp.'!$B174)*(Diário!$C$4:$C$2662&gt;=D$4)*(Diário!$C$4:$C$2662&lt;=EOMONTH(D$4,0))*(Diário!$F$4:$F$2662))
+SUMPRODUCT(('Comp.'!$D$5:$D$402=$B174)*('Comp.'!$B$5:$B$402&gt;=D$4)*('Comp.'!$B$5:$B$402&lt;=EOMONTH(D$4,0))*('Comp.'!$E$5:$E$402))</f>
        <v>0</v>
      </c>
      <c r="E174" s="11">
        <f>SUMPRODUCT((Diário!$E$4:$E$2662='Analítico Cp.'!$B174)*(Diário!$C$4:$C$2662&gt;=E$4)*(Diário!$C$4:$C$2662&lt;=EOMONTH(E$4,0))*(Diário!$F$4:$F$2662))
+SUMPRODUCT(('Comp.'!$D$5:$D$402=$B174)*('Comp.'!$B$5:$B$402&gt;=E$4)*('Comp.'!$B$5:$B$402&lt;=EOMONTH(E$4,0))*('Comp.'!$E$5:$E$402))</f>
        <v>0</v>
      </c>
      <c r="F174" s="11">
        <f>SUMPRODUCT((Diário!$E$4:$E$2662='Analítico Cp.'!$B174)*(Diário!$C$4:$C$2662&gt;=F$4)*(Diário!$C$4:$C$2662&lt;=EOMONTH(F$4,0))*(Diário!$F$4:$F$2662))
+SUMPRODUCT(('Comp.'!$D$5:$D$402=$B174)*('Comp.'!$B$5:$B$402&gt;=F$4)*('Comp.'!$B$5:$B$402&lt;=EOMONTH(F$4,0))*('Comp.'!$E$5:$E$402))</f>
        <v>745.44</v>
      </c>
      <c r="G174" s="11">
        <f>SUMPRODUCT((Diário!$E$4:$E$2662='Analítico Cp.'!$B174)*(Diário!$C$4:$C$2662&gt;=G$4)*(Diário!$C$4:$C$2662&lt;=EOMONTH(G$4,0))*(Diário!$F$4:$F$2662))
+SUMPRODUCT(('Comp.'!$D$5:$D$402=$B174)*('Comp.'!$B$5:$B$402&gt;=G$4)*('Comp.'!$B$5:$B$402&lt;=EOMONTH(G$4,0))*('Comp.'!$E$5:$E$402))</f>
        <v>1830</v>
      </c>
      <c r="H174" s="11">
        <f>SUMPRODUCT((Diário!$E$4:$E$2662='Analítico Cp.'!$B174)*(Diário!$C$4:$C$2662&gt;=H$4)*(Diário!$C$4:$C$2662&lt;=EOMONTH(H$4,0))*(Diário!$F$4:$F$2662))
+SUMPRODUCT(('Comp.'!$D$5:$D$402=$B174)*('Comp.'!$B$5:$B$402&gt;=H$4)*('Comp.'!$B$5:$B$402&lt;=EOMONTH(H$4,0))*('Comp.'!$E$5:$E$402))</f>
        <v>0</v>
      </c>
      <c r="I174" s="11">
        <f>SUMPRODUCT((Diário!$E$4:$E$2662='Analítico Cp.'!$B174)*(Diário!$C$4:$C$2662&gt;=I$4)*(Diário!$C$4:$C$2662&lt;=EOMONTH(I$4,0))*(Diário!$F$4:$F$2662))
+SUMPRODUCT(('Comp.'!$D$5:$D$402=$B174)*('Comp.'!$B$5:$B$402&gt;=I$4)*('Comp.'!$B$5:$B$402&lt;=EOMONTH(I$4,0))*('Comp.'!$E$5:$E$402))</f>
        <v>0</v>
      </c>
      <c r="J174" s="11">
        <f>SUMPRODUCT((Diário!$E$4:$E$2662='Analítico Cp.'!$B174)*(Diário!$C$4:$C$2662&gt;=J$4)*(Diário!$C$4:$C$2662&lt;=EOMONTH(J$4,0))*(Diário!$F$4:$F$2662))
+SUMPRODUCT(('Comp.'!$D$5:$D$402=$B174)*('Comp.'!$B$5:$B$402&gt;=J$4)*('Comp.'!$B$5:$B$402&lt;=EOMONTH(J$4,0))*('Comp.'!$E$5:$E$402))</f>
        <v>0</v>
      </c>
      <c r="K174" s="11">
        <f>SUMPRODUCT((Diário!$E$4:$E$2662='Analítico Cp.'!$B174)*(Diário!$C$4:$C$2662&gt;=K$4)*(Diário!$C$4:$C$2662&lt;=EOMONTH(K$4,0))*(Diário!$F$4:$F$2662))
+SUMPRODUCT(('Comp.'!$D$5:$D$402=$B174)*('Comp.'!$B$5:$B$402&gt;=K$4)*('Comp.'!$B$5:$B$402&lt;=EOMONTH(K$4,0))*('Comp.'!$E$5:$E$402))</f>
        <v>0</v>
      </c>
      <c r="L174" s="11">
        <f>SUMPRODUCT((Diário!$E$4:$E$2662='Analítico Cp.'!$B174)*(Diário!$C$4:$C$2662&gt;=L$4)*(Diário!$C$4:$C$2662&lt;=EOMONTH(L$4,0))*(Diário!$F$4:$F$2662))
+SUMPRODUCT(('Comp.'!$D$5:$D$402=$B174)*('Comp.'!$B$5:$B$402&gt;=L$4)*('Comp.'!$B$5:$B$402&lt;=EOMONTH(L$4,0))*('Comp.'!$E$5:$E$402))</f>
        <v>0</v>
      </c>
      <c r="M174" s="11">
        <f>SUMPRODUCT((Diário!$E$4:$E$2662='Analítico Cp.'!$B174)*(Diário!$C$4:$C$2662&gt;=M$4)*(Diário!$C$4:$C$2662&lt;=EOMONTH(M$4,0))*(Diário!$F$4:$F$2662))
+SUMPRODUCT(('Comp.'!$D$5:$D$402=$B174)*('Comp.'!$B$5:$B$402&gt;=M$4)*('Comp.'!$B$5:$B$402&lt;=EOMONTH(M$4,0))*('Comp.'!$E$5:$E$402))</f>
        <v>0</v>
      </c>
      <c r="N174" s="11">
        <f>SUMPRODUCT((Diário!$E$4:$E$2662='Analítico Cp.'!$B174)*(Diário!$C$4:$C$2662&gt;=N$4)*(Diário!$C$4:$C$2662&lt;=EOMONTH(N$4,0))*(Diário!$F$4:$F$2662))
+SUMPRODUCT(('Comp.'!$D$5:$D$402=$B174)*('Comp.'!$B$5:$B$402&gt;=N$4)*('Comp.'!$B$5:$B$402&lt;=EOMONTH(N$4,0))*('Comp.'!$E$5:$E$402))</f>
        <v>0</v>
      </c>
      <c r="O174" s="12">
        <f t="shared" si="19"/>
        <v>2575.44</v>
      </c>
      <c r="P174" s="95">
        <f t="shared" si="20"/>
        <v>1.2898023788402758E-4</v>
      </c>
    </row>
    <row r="175" spans="1:16" ht="23.25" customHeight="1">
      <c r="A175" s="40" t="s">
        <v>24</v>
      </c>
      <c r="B175" s="38" t="s">
        <v>210</v>
      </c>
      <c r="C175" s="11">
        <f>SUMPRODUCT((Diário!$E$4:$E$2662='Analítico Cp.'!$B175)*(Diário!$C$4:$C$2662&gt;=C$4)*(Diário!$C$4:$C$2662&lt;=EOMONTH(C$4,0))*(Diário!$F$4:$F$2662))
+SUMPRODUCT(('Comp.'!$D$5:$D$402=$B175)*('Comp.'!$B$5:$B$402&gt;=C$4)*('Comp.'!$B$5:$B$402&lt;=EOMONTH(C$4,0))*('Comp.'!$E$5:$E$402))</f>
        <v>0</v>
      </c>
      <c r="D175" s="11">
        <f>SUMPRODUCT((Diário!$E$4:$E$2662='Analítico Cp.'!$B175)*(Diário!$C$4:$C$2662&gt;=D$4)*(Diário!$C$4:$C$2662&lt;=EOMONTH(D$4,0))*(Diário!$F$4:$F$2662))
+SUMPRODUCT(('Comp.'!$D$5:$D$402=$B175)*('Comp.'!$B$5:$B$402&gt;=D$4)*('Comp.'!$B$5:$B$402&lt;=EOMONTH(D$4,0))*('Comp.'!$E$5:$E$402))</f>
        <v>0</v>
      </c>
      <c r="E175" s="11">
        <f>SUMPRODUCT((Diário!$E$4:$E$2662='Analítico Cp.'!$B175)*(Diário!$C$4:$C$2662&gt;=E$4)*(Diário!$C$4:$C$2662&lt;=EOMONTH(E$4,0))*(Diário!$F$4:$F$2662))
+SUMPRODUCT(('Comp.'!$D$5:$D$402=$B175)*('Comp.'!$B$5:$B$402&gt;=E$4)*('Comp.'!$B$5:$B$402&lt;=EOMONTH(E$4,0))*('Comp.'!$E$5:$E$402))</f>
        <v>0</v>
      </c>
      <c r="F175" s="11">
        <f>SUMPRODUCT((Diário!$E$4:$E$2662='Analítico Cp.'!$B175)*(Diário!$C$4:$C$2662&gt;=F$4)*(Diário!$C$4:$C$2662&lt;=EOMONTH(F$4,0))*(Diário!$F$4:$F$2662))
+SUMPRODUCT(('Comp.'!$D$5:$D$402=$B175)*('Comp.'!$B$5:$B$402&gt;=F$4)*('Comp.'!$B$5:$B$402&lt;=EOMONTH(F$4,0))*('Comp.'!$E$5:$E$402))</f>
        <v>0</v>
      </c>
      <c r="G175" s="11">
        <f>SUMPRODUCT((Diário!$E$4:$E$2662='Analítico Cp.'!$B175)*(Diário!$C$4:$C$2662&gt;=G$4)*(Diário!$C$4:$C$2662&lt;=EOMONTH(G$4,0))*(Diário!$F$4:$F$2662))
+SUMPRODUCT(('Comp.'!$D$5:$D$402=$B175)*('Comp.'!$B$5:$B$402&gt;=G$4)*('Comp.'!$B$5:$B$402&lt;=EOMONTH(G$4,0))*('Comp.'!$E$5:$E$402))</f>
        <v>0</v>
      </c>
      <c r="H175" s="11">
        <f>SUMPRODUCT((Diário!$E$4:$E$2662='Analítico Cp.'!$B175)*(Diário!$C$4:$C$2662&gt;=H$4)*(Diário!$C$4:$C$2662&lt;=EOMONTH(H$4,0))*(Diário!$F$4:$F$2662))
+SUMPRODUCT(('Comp.'!$D$5:$D$402=$B175)*('Comp.'!$B$5:$B$402&gt;=H$4)*('Comp.'!$B$5:$B$402&lt;=EOMONTH(H$4,0))*('Comp.'!$E$5:$E$402))</f>
        <v>6909</v>
      </c>
      <c r="I175" s="11">
        <f>SUMPRODUCT((Diário!$E$4:$E$2662='Analítico Cp.'!$B175)*(Diário!$C$4:$C$2662&gt;=I$4)*(Diário!$C$4:$C$2662&lt;=EOMONTH(I$4,0))*(Diário!$F$4:$F$2662))
+SUMPRODUCT(('Comp.'!$D$5:$D$402=$B175)*('Comp.'!$B$5:$B$402&gt;=I$4)*('Comp.'!$B$5:$B$402&lt;=EOMONTH(I$4,0))*('Comp.'!$E$5:$E$402))</f>
        <v>0</v>
      </c>
      <c r="J175" s="11">
        <f>SUMPRODUCT((Diário!$E$4:$E$2662='Analítico Cp.'!$B175)*(Diário!$C$4:$C$2662&gt;=J$4)*(Diário!$C$4:$C$2662&lt;=EOMONTH(J$4,0))*(Diário!$F$4:$F$2662))
+SUMPRODUCT(('Comp.'!$D$5:$D$402=$B175)*('Comp.'!$B$5:$B$402&gt;=J$4)*('Comp.'!$B$5:$B$402&lt;=EOMONTH(J$4,0))*('Comp.'!$E$5:$E$402))</f>
        <v>0</v>
      </c>
      <c r="K175" s="11">
        <f>SUMPRODUCT((Diário!$E$4:$E$2662='Analítico Cp.'!$B175)*(Diário!$C$4:$C$2662&gt;=K$4)*(Diário!$C$4:$C$2662&lt;=EOMONTH(K$4,0))*(Diário!$F$4:$F$2662))
+SUMPRODUCT(('Comp.'!$D$5:$D$402=$B175)*('Comp.'!$B$5:$B$402&gt;=K$4)*('Comp.'!$B$5:$B$402&lt;=EOMONTH(K$4,0))*('Comp.'!$E$5:$E$402))</f>
        <v>0</v>
      </c>
      <c r="L175" s="11">
        <f>SUMPRODUCT((Diário!$E$4:$E$2662='Analítico Cp.'!$B175)*(Diário!$C$4:$C$2662&gt;=L$4)*(Diário!$C$4:$C$2662&lt;=EOMONTH(L$4,0))*(Diário!$F$4:$F$2662))
+SUMPRODUCT(('Comp.'!$D$5:$D$402=$B175)*('Comp.'!$B$5:$B$402&gt;=L$4)*('Comp.'!$B$5:$B$402&lt;=EOMONTH(L$4,0))*('Comp.'!$E$5:$E$402))</f>
        <v>0</v>
      </c>
      <c r="M175" s="11">
        <f>SUMPRODUCT((Diário!$E$4:$E$2662='Analítico Cp.'!$B175)*(Diário!$C$4:$C$2662&gt;=M$4)*(Diário!$C$4:$C$2662&lt;=EOMONTH(M$4,0))*(Diário!$F$4:$F$2662))
+SUMPRODUCT(('Comp.'!$D$5:$D$402=$B175)*('Comp.'!$B$5:$B$402&gt;=M$4)*('Comp.'!$B$5:$B$402&lt;=EOMONTH(M$4,0))*('Comp.'!$E$5:$E$402))</f>
        <v>0</v>
      </c>
      <c r="N175" s="11">
        <f>SUMPRODUCT((Diário!$E$4:$E$2662='Analítico Cp.'!$B175)*(Diário!$C$4:$C$2662&gt;=N$4)*(Diário!$C$4:$C$2662&lt;=EOMONTH(N$4,0))*(Diário!$F$4:$F$2662))
+SUMPRODUCT(('Comp.'!$D$5:$D$402=$B175)*('Comp.'!$B$5:$B$402&gt;=N$4)*('Comp.'!$B$5:$B$402&lt;=EOMONTH(N$4,0))*('Comp.'!$E$5:$E$402))</f>
        <v>0</v>
      </c>
      <c r="O175" s="12">
        <f t="shared" si="19"/>
        <v>6909</v>
      </c>
      <c r="P175" s="95">
        <f t="shared" si="20"/>
        <v>3.460086290267863E-4</v>
      </c>
    </row>
    <row r="176" spans="1:16" ht="23.25" customHeight="1">
      <c r="A176" s="40" t="s">
        <v>25</v>
      </c>
      <c r="B176" s="38" t="s">
        <v>212</v>
      </c>
      <c r="C176" s="11">
        <f>SUMPRODUCT((Diário!$E$4:$E$2662='Analítico Cp.'!$B176)*(Diário!$C$4:$C$2662&gt;=C$4)*(Diário!$C$4:$C$2662&lt;=EOMONTH(C$4,0))*(Diário!$F$4:$F$2662))
+SUMPRODUCT(('Comp.'!$D$5:$D$402=$B176)*('Comp.'!$B$5:$B$402&gt;=C$4)*('Comp.'!$B$5:$B$402&lt;=EOMONTH(C$4,0))*('Comp.'!$E$5:$E$402))</f>
        <v>0</v>
      </c>
      <c r="D176" s="11">
        <f>SUMPRODUCT((Diário!$E$4:$E$2662='Analítico Cp.'!$B176)*(Diário!$C$4:$C$2662&gt;=D$4)*(Diário!$C$4:$C$2662&lt;=EOMONTH(D$4,0))*(Diário!$F$4:$F$2662))
+SUMPRODUCT(('Comp.'!$D$5:$D$402=$B176)*('Comp.'!$B$5:$B$402&gt;=D$4)*('Comp.'!$B$5:$B$402&lt;=EOMONTH(D$4,0))*('Comp.'!$E$5:$E$402))</f>
        <v>0</v>
      </c>
      <c r="E176" s="11">
        <f>SUMPRODUCT((Diário!$E$4:$E$2662='Analítico Cp.'!$B176)*(Diário!$C$4:$C$2662&gt;=E$4)*(Diário!$C$4:$C$2662&lt;=EOMONTH(E$4,0))*(Diário!$F$4:$F$2662))
+SUMPRODUCT(('Comp.'!$D$5:$D$402=$B176)*('Comp.'!$B$5:$B$402&gt;=E$4)*('Comp.'!$B$5:$B$402&lt;=EOMONTH(E$4,0))*('Comp.'!$E$5:$E$402))</f>
        <v>0</v>
      </c>
      <c r="F176" s="11">
        <f>SUMPRODUCT((Diário!$E$4:$E$2662='Analítico Cp.'!$B176)*(Diário!$C$4:$C$2662&gt;=F$4)*(Diário!$C$4:$C$2662&lt;=EOMONTH(F$4,0))*(Diário!$F$4:$F$2662))
+SUMPRODUCT(('Comp.'!$D$5:$D$402=$B176)*('Comp.'!$B$5:$B$402&gt;=F$4)*('Comp.'!$B$5:$B$402&lt;=EOMONTH(F$4,0))*('Comp.'!$E$5:$E$402))</f>
        <v>0</v>
      </c>
      <c r="G176" s="11">
        <f>SUMPRODUCT((Diário!$E$4:$E$2662='Analítico Cp.'!$B176)*(Diário!$C$4:$C$2662&gt;=G$4)*(Diário!$C$4:$C$2662&lt;=EOMONTH(G$4,0))*(Diário!$F$4:$F$2662))
+SUMPRODUCT(('Comp.'!$D$5:$D$402=$B176)*('Comp.'!$B$5:$B$402&gt;=G$4)*('Comp.'!$B$5:$B$402&lt;=EOMONTH(G$4,0))*('Comp.'!$E$5:$E$402))</f>
        <v>4434.91</v>
      </c>
      <c r="H176" s="11">
        <f>SUMPRODUCT((Diário!$E$4:$E$2662='Analítico Cp.'!$B176)*(Diário!$C$4:$C$2662&gt;=H$4)*(Diário!$C$4:$C$2662&lt;=EOMONTH(H$4,0))*(Diário!$F$4:$F$2662))
+SUMPRODUCT(('Comp.'!$D$5:$D$402=$B176)*('Comp.'!$B$5:$B$402&gt;=H$4)*('Comp.'!$B$5:$B$402&lt;=EOMONTH(H$4,0))*('Comp.'!$E$5:$E$402))</f>
        <v>0</v>
      </c>
      <c r="I176" s="11">
        <f>SUMPRODUCT((Diário!$E$4:$E$2662='Analítico Cp.'!$B176)*(Diário!$C$4:$C$2662&gt;=I$4)*(Diário!$C$4:$C$2662&lt;=EOMONTH(I$4,0))*(Diário!$F$4:$F$2662))
+SUMPRODUCT(('Comp.'!$D$5:$D$402=$B176)*('Comp.'!$B$5:$B$402&gt;=I$4)*('Comp.'!$B$5:$B$402&lt;=EOMONTH(I$4,0))*('Comp.'!$E$5:$E$402))</f>
        <v>0</v>
      </c>
      <c r="J176" s="11">
        <f>SUMPRODUCT((Diário!$E$4:$E$2662='Analítico Cp.'!$B176)*(Diário!$C$4:$C$2662&gt;=J$4)*(Diário!$C$4:$C$2662&lt;=EOMONTH(J$4,0))*(Diário!$F$4:$F$2662))
+SUMPRODUCT(('Comp.'!$D$5:$D$402=$B176)*('Comp.'!$B$5:$B$402&gt;=J$4)*('Comp.'!$B$5:$B$402&lt;=EOMONTH(J$4,0))*('Comp.'!$E$5:$E$402))</f>
        <v>0</v>
      </c>
      <c r="K176" s="11">
        <f>SUMPRODUCT((Diário!$E$4:$E$2662='Analítico Cp.'!$B176)*(Diário!$C$4:$C$2662&gt;=K$4)*(Diário!$C$4:$C$2662&lt;=EOMONTH(K$4,0))*(Diário!$F$4:$F$2662))
+SUMPRODUCT(('Comp.'!$D$5:$D$402=$B176)*('Comp.'!$B$5:$B$402&gt;=K$4)*('Comp.'!$B$5:$B$402&lt;=EOMONTH(K$4,0))*('Comp.'!$E$5:$E$402))</f>
        <v>0</v>
      </c>
      <c r="L176" s="11">
        <f>SUMPRODUCT((Diário!$E$4:$E$2662='Analítico Cp.'!$B176)*(Diário!$C$4:$C$2662&gt;=L$4)*(Diário!$C$4:$C$2662&lt;=EOMONTH(L$4,0))*(Diário!$F$4:$F$2662))
+SUMPRODUCT(('Comp.'!$D$5:$D$402=$B176)*('Comp.'!$B$5:$B$402&gt;=L$4)*('Comp.'!$B$5:$B$402&lt;=EOMONTH(L$4,0))*('Comp.'!$E$5:$E$402))</f>
        <v>0</v>
      </c>
      <c r="M176" s="11">
        <f>SUMPRODUCT((Diário!$E$4:$E$2662='Analítico Cp.'!$B176)*(Diário!$C$4:$C$2662&gt;=M$4)*(Diário!$C$4:$C$2662&lt;=EOMONTH(M$4,0))*(Diário!$F$4:$F$2662))
+SUMPRODUCT(('Comp.'!$D$5:$D$402=$B176)*('Comp.'!$B$5:$B$402&gt;=M$4)*('Comp.'!$B$5:$B$402&lt;=EOMONTH(M$4,0))*('Comp.'!$E$5:$E$402))</f>
        <v>0</v>
      </c>
      <c r="N176" s="11">
        <f>SUMPRODUCT((Diário!$E$4:$E$2662='Analítico Cp.'!$B176)*(Diário!$C$4:$C$2662&gt;=N$4)*(Diário!$C$4:$C$2662&lt;=EOMONTH(N$4,0))*(Diário!$F$4:$F$2662))
+SUMPRODUCT(('Comp.'!$D$5:$D$402=$B176)*('Comp.'!$B$5:$B$402&gt;=N$4)*('Comp.'!$B$5:$B$402&lt;=EOMONTH(N$4,0))*('Comp.'!$E$5:$E$402))</f>
        <v>0</v>
      </c>
      <c r="O176" s="12">
        <f t="shared" si="19"/>
        <v>4434.91</v>
      </c>
      <c r="P176" s="95">
        <f t="shared" si="20"/>
        <v>2.2210408582387967E-4</v>
      </c>
    </row>
    <row r="177" spans="1:16" ht="23.25" customHeight="1">
      <c r="A177" s="40" t="s">
        <v>26</v>
      </c>
      <c r="B177" s="38" t="s">
        <v>214</v>
      </c>
      <c r="C177" s="11">
        <f>SUMPRODUCT((Diário!$E$4:$E$2662='Analítico Cp.'!$B177)*(Diário!$C$4:$C$2662&gt;=C$4)*(Diário!$C$4:$C$2662&lt;=EOMONTH(C$4,0))*(Diário!$F$4:$F$2662))
+SUMPRODUCT(('Comp.'!$D$5:$D$402=$B177)*('Comp.'!$B$5:$B$402&gt;=C$4)*('Comp.'!$B$5:$B$402&lt;=EOMONTH(C$4,0))*('Comp.'!$E$5:$E$402))</f>
        <v>0</v>
      </c>
      <c r="D177" s="11">
        <f>SUMPRODUCT((Diário!$E$4:$E$2662='Analítico Cp.'!$B177)*(Diário!$C$4:$C$2662&gt;=D$4)*(Diário!$C$4:$C$2662&lt;=EOMONTH(D$4,0))*(Diário!$F$4:$F$2662))
+SUMPRODUCT(('Comp.'!$D$5:$D$402=$B177)*('Comp.'!$B$5:$B$402&gt;=D$4)*('Comp.'!$B$5:$B$402&lt;=EOMONTH(D$4,0))*('Comp.'!$E$5:$E$402))</f>
        <v>0</v>
      </c>
      <c r="E177" s="11">
        <f>SUMPRODUCT((Diário!$E$4:$E$2662='Analítico Cp.'!$B177)*(Diário!$C$4:$C$2662&gt;=E$4)*(Diário!$C$4:$C$2662&lt;=EOMONTH(E$4,0))*(Diário!$F$4:$F$2662))
+SUMPRODUCT(('Comp.'!$D$5:$D$402=$B177)*('Comp.'!$B$5:$B$402&gt;=E$4)*('Comp.'!$B$5:$B$402&lt;=EOMONTH(E$4,0))*('Comp.'!$E$5:$E$402))</f>
        <v>0</v>
      </c>
      <c r="F177" s="11">
        <f>SUMPRODUCT((Diário!$E$4:$E$2662='Analítico Cp.'!$B177)*(Diário!$C$4:$C$2662&gt;=F$4)*(Diário!$C$4:$C$2662&lt;=EOMONTH(F$4,0))*(Diário!$F$4:$F$2662))
+SUMPRODUCT(('Comp.'!$D$5:$D$402=$B177)*('Comp.'!$B$5:$B$402&gt;=F$4)*('Comp.'!$B$5:$B$402&lt;=EOMONTH(F$4,0))*('Comp.'!$E$5:$E$402))</f>
        <v>0</v>
      </c>
      <c r="G177" s="11">
        <f>SUMPRODUCT((Diário!$E$4:$E$2662='Analítico Cp.'!$B177)*(Diário!$C$4:$C$2662&gt;=G$4)*(Diário!$C$4:$C$2662&lt;=EOMONTH(G$4,0))*(Diário!$F$4:$F$2662))
+SUMPRODUCT(('Comp.'!$D$5:$D$402=$B177)*('Comp.'!$B$5:$B$402&gt;=G$4)*('Comp.'!$B$5:$B$402&lt;=EOMONTH(G$4,0))*('Comp.'!$E$5:$E$402))</f>
        <v>0</v>
      </c>
      <c r="H177" s="11">
        <f>SUMPRODUCT((Diário!$E$4:$E$2662='Analítico Cp.'!$B177)*(Diário!$C$4:$C$2662&gt;=H$4)*(Diário!$C$4:$C$2662&lt;=EOMONTH(H$4,0))*(Diário!$F$4:$F$2662))
+SUMPRODUCT(('Comp.'!$D$5:$D$402=$B177)*('Comp.'!$B$5:$B$402&gt;=H$4)*('Comp.'!$B$5:$B$402&lt;=EOMONTH(H$4,0))*('Comp.'!$E$5:$E$402))</f>
        <v>649</v>
      </c>
      <c r="I177" s="11">
        <f>SUMPRODUCT((Diário!$E$4:$E$2662='Analítico Cp.'!$B177)*(Diário!$C$4:$C$2662&gt;=I$4)*(Diário!$C$4:$C$2662&lt;=EOMONTH(I$4,0))*(Diário!$F$4:$F$2662))
+SUMPRODUCT(('Comp.'!$D$5:$D$402=$B177)*('Comp.'!$B$5:$B$402&gt;=I$4)*('Comp.'!$B$5:$B$402&lt;=EOMONTH(I$4,0))*('Comp.'!$E$5:$E$402))</f>
        <v>0</v>
      </c>
      <c r="J177" s="11">
        <f>SUMPRODUCT((Diário!$E$4:$E$2662='Analítico Cp.'!$B177)*(Diário!$C$4:$C$2662&gt;=J$4)*(Diário!$C$4:$C$2662&lt;=EOMONTH(J$4,0))*(Diário!$F$4:$F$2662))
+SUMPRODUCT(('Comp.'!$D$5:$D$402=$B177)*('Comp.'!$B$5:$B$402&gt;=J$4)*('Comp.'!$B$5:$B$402&lt;=EOMONTH(J$4,0))*('Comp.'!$E$5:$E$402))</f>
        <v>0</v>
      </c>
      <c r="K177" s="11">
        <f>SUMPRODUCT((Diário!$E$4:$E$2662='Analítico Cp.'!$B177)*(Diário!$C$4:$C$2662&gt;=K$4)*(Diário!$C$4:$C$2662&lt;=EOMONTH(K$4,0))*(Diário!$F$4:$F$2662))
+SUMPRODUCT(('Comp.'!$D$5:$D$402=$B177)*('Comp.'!$B$5:$B$402&gt;=K$4)*('Comp.'!$B$5:$B$402&lt;=EOMONTH(K$4,0))*('Comp.'!$E$5:$E$402))</f>
        <v>0</v>
      </c>
      <c r="L177" s="11">
        <f>SUMPRODUCT((Diário!$E$4:$E$2662='Analítico Cp.'!$B177)*(Diário!$C$4:$C$2662&gt;=L$4)*(Diário!$C$4:$C$2662&lt;=EOMONTH(L$4,0))*(Diário!$F$4:$F$2662))
+SUMPRODUCT(('Comp.'!$D$5:$D$402=$B177)*('Comp.'!$B$5:$B$402&gt;=L$4)*('Comp.'!$B$5:$B$402&lt;=EOMONTH(L$4,0))*('Comp.'!$E$5:$E$402))</f>
        <v>0</v>
      </c>
      <c r="M177" s="11">
        <f>SUMPRODUCT((Diário!$E$4:$E$2662='Analítico Cp.'!$B177)*(Diário!$C$4:$C$2662&gt;=M$4)*(Diário!$C$4:$C$2662&lt;=EOMONTH(M$4,0))*(Diário!$F$4:$F$2662))
+SUMPRODUCT(('Comp.'!$D$5:$D$402=$B177)*('Comp.'!$B$5:$B$402&gt;=M$4)*('Comp.'!$B$5:$B$402&lt;=EOMONTH(M$4,0))*('Comp.'!$E$5:$E$402))</f>
        <v>0</v>
      </c>
      <c r="N177" s="11">
        <f>SUMPRODUCT((Diário!$E$4:$E$2662='Analítico Cp.'!$B177)*(Diário!$C$4:$C$2662&gt;=N$4)*(Diário!$C$4:$C$2662&lt;=EOMONTH(N$4,0))*(Diário!$F$4:$F$2662))
+SUMPRODUCT(('Comp.'!$D$5:$D$402=$B177)*('Comp.'!$B$5:$B$402&gt;=N$4)*('Comp.'!$B$5:$B$402&lt;=EOMONTH(N$4,0))*('Comp.'!$E$5:$E$402))</f>
        <v>0</v>
      </c>
      <c r="O177" s="12">
        <f t="shared" si="19"/>
        <v>649</v>
      </c>
      <c r="P177" s="95">
        <f t="shared" si="20"/>
        <v>3.2502475067069662E-5</v>
      </c>
    </row>
    <row r="178" spans="1:16" ht="23.25" customHeight="1">
      <c r="A178" s="40" t="s">
        <v>27</v>
      </c>
      <c r="B178" s="38" t="s">
        <v>217</v>
      </c>
      <c r="C178" s="11">
        <f>SUMPRODUCT((Diário!$E$4:$E$2662='Analítico Cp.'!$B178)*(Diário!$C$4:$C$2662&gt;=C$4)*(Diário!$C$4:$C$2662&lt;=EOMONTH(C$4,0))*(Diário!$F$4:$F$2662))
+SUMPRODUCT(('Comp.'!$D$5:$D$402=$B178)*('Comp.'!$B$5:$B$402&gt;=C$4)*('Comp.'!$B$5:$B$402&lt;=EOMONTH(C$4,0))*('Comp.'!$E$5:$E$402))</f>
        <v>0</v>
      </c>
      <c r="D178" s="11">
        <f>SUMPRODUCT((Diário!$E$4:$E$2662='Analítico Cp.'!$B178)*(Diário!$C$4:$C$2662&gt;=D$4)*(Diário!$C$4:$C$2662&lt;=EOMONTH(D$4,0))*(Diário!$F$4:$F$2662))
+SUMPRODUCT(('Comp.'!$D$5:$D$402=$B178)*('Comp.'!$B$5:$B$402&gt;=D$4)*('Comp.'!$B$5:$B$402&lt;=EOMONTH(D$4,0))*('Comp.'!$E$5:$E$402))</f>
        <v>0</v>
      </c>
      <c r="E178" s="11">
        <f>SUMPRODUCT((Diário!$E$4:$E$2662='Analítico Cp.'!$B178)*(Diário!$C$4:$C$2662&gt;=E$4)*(Diário!$C$4:$C$2662&lt;=EOMONTH(E$4,0))*(Diário!$F$4:$F$2662))
+SUMPRODUCT(('Comp.'!$D$5:$D$402=$B178)*('Comp.'!$B$5:$B$402&gt;=E$4)*('Comp.'!$B$5:$B$402&lt;=EOMONTH(E$4,0))*('Comp.'!$E$5:$E$402))</f>
        <v>0</v>
      </c>
      <c r="F178" s="11">
        <f>SUMPRODUCT((Diário!$E$4:$E$2662='Analítico Cp.'!$B178)*(Diário!$C$4:$C$2662&gt;=F$4)*(Diário!$C$4:$C$2662&lt;=EOMONTH(F$4,0))*(Diário!$F$4:$F$2662))
+SUMPRODUCT(('Comp.'!$D$5:$D$402=$B178)*('Comp.'!$B$5:$B$402&gt;=F$4)*('Comp.'!$B$5:$B$402&lt;=EOMONTH(F$4,0))*('Comp.'!$E$5:$E$402))</f>
        <v>0</v>
      </c>
      <c r="G178" s="11">
        <f>SUMPRODUCT((Diário!$E$4:$E$2662='Analítico Cp.'!$B178)*(Diário!$C$4:$C$2662&gt;=G$4)*(Diário!$C$4:$C$2662&lt;=EOMONTH(G$4,0))*(Diário!$F$4:$F$2662))
+SUMPRODUCT(('Comp.'!$D$5:$D$402=$B178)*('Comp.'!$B$5:$B$402&gt;=G$4)*('Comp.'!$B$5:$B$402&lt;=EOMONTH(G$4,0))*('Comp.'!$E$5:$E$402))</f>
        <v>0</v>
      </c>
      <c r="H178" s="11">
        <f>SUMPRODUCT((Diário!$E$4:$E$2662='Analítico Cp.'!$B178)*(Diário!$C$4:$C$2662&gt;=H$4)*(Diário!$C$4:$C$2662&lt;=EOMONTH(H$4,0))*(Diário!$F$4:$F$2662))
+SUMPRODUCT(('Comp.'!$D$5:$D$402=$B178)*('Comp.'!$B$5:$B$402&gt;=H$4)*('Comp.'!$B$5:$B$402&lt;=EOMONTH(H$4,0))*('Comp.'!$E$5:$E$402))</f>
        <v>0</v>
      </c>
      <c r="I178" s="11">
        <f>SUMPRODUCT((Diário!$E$4:$E$2662='Analítico Cp.'!$B178)*(Diário!$C$4:$C$2662&gt;=I$4)*(Diário!$C$4:$C$2662&lt;=EOMONTH(I$4,0))*(Diário!$F$4:$F$2662))
+SUMPRODUCT(('Comp.'!$D$5:$D$402=$B178)*('Comp.'!$B$5:$B$402&gt;=I$4)*('Comp.'!$B$5:$B$402&lt;=EOMONTH(I$4,0))*('Comp.'!$E$5:$E$402))</f>
        <v>0</v>
      </c>
      <c r="J178" s="11">
        <f>SUMPRODUCT((Diário!$E$4:$E$2662='Analítico Cp.'!$B178)*(Diário!$C$4:$C$2662&gt;=J$4)*(Diário!$C$4:$C$2662&lt;=EOMONTH(J$4,0))*(Diário!$F$4:$F$2662))
+SUMPRODUCT(('Comp.'!$D$5:$D$402=$B178)*('Comp.'!$B$5:$B$402&gt;=J$4)*('Comp.'!$B$5:$B$402&lt;=EOMONTH(J$4,0))*('Comp.'!$E$5:$E$402))</f>
        <v>0</v>
      </c>
      <c r="K178" s="11">
        <f>SUMPRODUCT((Diário!$E$4:$E$2662='Analítico Cp.'!$B178)*(Diário!$C$4:$C$2662&gt;=K$4)*(Diário!$C$4:$C$2662&lt;=EOMONTH(K$4,0))*(Diário!$F$4:$F$2662))
+SUMPRODUCT(('Comp.'!$D$5:$D$402=$B178)*('Comp.'!$B$5:$B$402&gt;=K$4)*('Comp.'!$B$5:$B$402&lt;=EOMONTH(K$4,0))*('Comp.'!$E$5:$E$402))</f>
        <v>0</v>
      </c>
      <c r="L178" s="11">
        <f>SUMPRODUCT((Diário!$E$4:$E$2662='Analítico Cp.'!$B178)*(Diário!$C$4:$C$2662&gt;=L$4)*(Diário!$C$4:$C$2662&lt;=EOMONTH(L$4,0))*(Diário!$F$4:$F$2662))
+SUMPRODUCT(('Comp.'!$D$5:$D$402=$B178)*('Comp.'!$B$5:$B$402&gt;=L$4)*('Comp.'!$B$5:$B$402&lt;=EOMONTH(L$4,0))*('Comp.'!$E$5:$E$402))</f>
        <v>0</v>
      </c>
      <c r="M178" s="11">
        <f>SUMPRODUCT((Diário!$E$4:$E$2662='Analítico Cp.'!$B178)*(Diário!$C$4:$C$2662&gt;=M$4)*(Diário!$C$4:$C$2662&lt;=EOMONTH(M$4,0))*(Diário!$F$4:$F$2662))
+SUMPRODUCT(('Comp.'!$D$5:$D$402=$B178)*('Comp.'!$B$5:$B$402&gt;=M$4)*('Comp.'!$B$5:$B$402&lt;=EOMONTH(M$4,0))*('Comp.'!$E$5:$E$402))</f>
        <v>0</v>
      </c>
      <c r="N178" s="11">
        <f>SUMPRODUCT((Diário!$E$4:$E$2662='Analítico Cp.'!$B178)*(Diário!$C$4:$C$2662&gt;=N$4)*(Diário!$C$4:$C$2662&lt;=EOMONTH(N$4,0))*(Diário!$F$4:$F$2662))
+SUMPRODUCT(('Comp.'!$D$5:$D$402=$B178)*('Comp.'!$B$5:$B$402&gt;=N$4)*('Comp.'!$B$5:$B$402&lt;=EOMONTH(N$4,0))*('Comp.'!$E$5:$E$402))</f>
        <v>0</v>
      </c>
      <c r="O178" s="12">
        <f t="shared" si="19"/>
        <v>0</v>
      </c>
      <c r="P178" s="95">
        <f t="shared" si="20"/>
        <v>0</v>
      </c>
    </row>
    <row r="179" spans="1:16" ht="23.25" customHeight="1">
      <c r="A179" s="40" t="s">
        <v>28</v>
      </c>
      <c r="B179" s="38" t="s">
        <v>218</v>
      </c>
      <c r="C179" s="11">
        <f>SUMPRODUCT((Diário!$E$4:$E$2662='Analítico Cp.'!$B179)*(Diário!$C$4:$C$2662&gt;=C$4)*(Diário!$C$4:$C$2662&lt;=EOMONTH(C$4,0))*(Diário!$F$4:$F$2662))
+SUMPRODUCT(('Comp.'!$D$5:$D$402=$B179)*('Comp.'!$B$5:$B$402&gt;=C$4)*('Comp.'!$B$5:$B$402&lt;=EOMONTH(C$4,0))*('Comp.'!$E$5:$E$402))</f>
        <v>2188</v>
      </c>
      <c r="D179" s="11">
        <f>SUMPRODUCT((Diário!$E$4:$E$2662='Analítico Cp.'!$B179)*(Diário!$C$4:$C$2662&gt;=D$4)*(Diário!$C$4:$C$2662&lt;=EOMONTH(D$4,0))*(Diário!$F$4:$F$2662))
+SUMPRODUCT(('Comp.'!$D$5:$D$402=$B179)*('Comp.'!$B$5:$B$402&gt;=D$4)*('Comp.'!$B$5:$B$402&lt;=EOMONTH(D$4,0))*('Comp.'!$E$5:$E$402))</f>
        <v>2188</v>
      </c>
      <c r="E179" s="11">
        <f>SUMPRODUCT((Diário!$E$4:$E$2662='Analítico Cp.'!$B179)*(Diário!$C$4:$C$2662&gt;=E$4)*(Diário!$C$4:$C$2662&lt;=EOMONTH(E$4,0))*(Diário!$F$4:$F$2662))
+SUMPRODUCT(('Comp.'!$D$5:$D$402=$B179)*('Comp.'!$B$5:$B$402&gt;=E$4)*('Comp.'!$B$5:$B$402&lt;=EOMONTH(E$4,0))*('Comp.'!$E$5:$E$402))</f>
        <v>0</v>
      </c>
      <c r="F179" s="11">
        <f>SUMPRODUCT((Diário!$E$4:$E$2662='Analítico Cp.'!$B179)*(Diário!$C$4:$C$2662&gt;=F$4)*(Diário!$C$4:$C$2662&lt;=EOMONTH(F$4,0))*(Diário!$F$4:$F$2662))
+SUMPRODUCT(('Comp.'!$D$5:$D$402=$B179)*('Comp.'!$B$5:$B$402&gt;=F$4)*('Comp.'!$B$5:$B$402&lt;=EOMONTH(F$4,0))*('Comp.'!$E$5:$E$402))</f>
        <v>0</v>
      </c>
      <c r="G179" s="11">
        <f>SUMPRODUCT((Diário!$E$4:$E$2662='Analítico Cp.'!$B179)*(Diário!$C$4:$C$2662&gt;=G$4)*(Diário!$C$4:$C$2662&lt;=EOMONTH(G$4,0))*(Diário!$F$4:$F$2662))
+SUMPRODUCT(('Comp.'!$D$5:$D$402=$B179)*('Comp.'!$B$5:$B$402&gt;=G$4)*('Comp.'!$B$5:$B$402&lt;=EOMONTH(G$4,0))*('Comp.'!$E$5:$E$402))</f>
        <v>30452.6</v>
      </c>
      <c r="H179" s="11">
        <f>SUMPRODUCT((Diário!$E$4:$E$2662='Analítico Cp.'!$B179)*(Diário!$C$4:$C$2662&gt;=H$4)*(Diário!$C$4:$C$2662&lt;=EOMONTH(H$4,0))*(Diário!$F$4:$F$2662))
+SUMPRODUCT(('Comp.'!$D$5:$D$402=$B179)*('Comp.'!$B$5:$B$402&gt;=H$4)*('Comp.'!$B$5:$B$402&lt;=EOMONTH(H$4,0))*('Comp.'!$E$5:$E$402))</f>
        <v>0</v>
      </c>
      <c r="I179" s="11">
        <f>SUMPRODUCT((Diário!$E$4:$E$2662='Analítico Cp.'!$B179)*(Diário!$C$4:$C$2662&gt;=I$4)*(Diário!$C$4:$C$2662&lt;=EOMONTH(I$4,0))*(Diário!$F$4:$F$2662))
+SUMPRODUCT(('Comp.'!$D$5:$D$402=$B179)*('Comp.'!$B$5:$B$402&gt;=I$4)*('Comp.'!$B$5:$B$402&lt;=EOMONTH(I$4,0))*('Comp.'!$E$5:$E$402))</f>
        <v>0</v>
      </c>
      <c r="J179" s="11">
        <f>SUMPRODUCT((Diário!$E$4:$E$2662='Analítico Cp.'!$B179)*(Diário!$C$4:$C$2662&gt;=J$4)*(Diário!$C$4:$C$2662&lt;=EOMONTH(J$4,0))*(Diário!$F$4:$F$2662))
+SUMPRODUCT(('Comp.'!$D$5:$D$402=$B179)*('Comp.'!$B$5:$B$402&gt;=J$4)*('Comp.'!$B$5:$B$402&lt;=EOMONTH(J$4,0))*('Comp.'!$E$5:$E$402))</f>
        <v>0</v>
      </c>
      <c r="K179" s="11">
        <f>SUMPRODUCT((Diário!$E$4:$E$2662='Analítico Cp.'!$B179)*(Diário!$C$4:$C$2662&gt;=K$4)*(Diário!$C$4:$C$2662&lt;=EOMONTH(K$4,0))*(Diário!$F$4:$F$2662))
+SUMPRODUCT(('Comp.'!$D$5:$D$402=$B179)*('Comp.'!$B$5:$B$402&gt;=K$4)*('Comp.'!$B$5:$B$402&lt;=EOMONTH(K$4,0))*('Comp.'!$E$5:$E$402))</f>
        <v>0</v>
      </c>
      <c r="L179" s="11">
        <f>SUMPRODUCT((Diário!$E$4:$E$2662='Analítico Cp.'!$B179)*(Diário!$C$4:$C$2662&gt;=L$4)*(Diário!$C$4:$C$2662&lt;=EOMONTH(L$4,0))*(Diário!$F$4:$F$2662))
+SUMPRODUCT(('Comp.'!$D$5:$D$402=$B179)*('Comp.'!$B$5:$B$402&gt;=L$4)*('Comp.'!$B$5:$B$402&lt;=EOMONTH(L$4,0))*('Comp.'!$E$5:$E$402))</f>
        <v>0</v>
      </c>
      <c r="M179" s="11">
        <f>SUMPRODUCT((Diário!$E$4:$E$2662='Analítico Cp.'!$B179)*(Diário!$C$4:$C$2662&gt;=M$4)*(Diário!$C$4:$C$2662&lt;=EOMONTH(M$4,0))*(Diário!$F$4:$F$2662))
+SUMPRODUCT(('Comp.'!$D$5:$D$402=$B179)*('Comp.'!$B$5:$B$402&gt;=M$4)*('Comp.'!$B$5:$B$402&lt;=EOMONTH(M$4,0))*('Comp.'!$E$5:$E$402))</f>
        <v>0</v>
      </c>
      <c r="N179" s="11">
        <f>SUMPRODUCT((Diário!$E$4:$E$2662='Analítico Cp.'!$B179)*(Diário!$C$4:$C$2662&gt;=N$4)*(Diário!$C$4:$C$2662&lt;=EOMONTH(N$4,0))*(Diário!$F$4:$F$2662))
+SUMPRODUCT(('Comp.'!$D$5:$D$402=$B179)*('Comp.'!$B$5:$B$402&gt;=N$4)*('Comp.'!$B$5:$B$402&lt;=EOMONTH(N$4,0))*('Comp.'!$E$5:$E$402))</f>
        <v>0</v>
      </c>
      <c r="O179" s="12">
        <f t="shared" si="19"/>
        <v>34828.6</v>
      </c>
      <c r="P179" s="95">
        <f t="shared" si="20"/>
        <v>1.7442460756871224E-3</v>
      </c>
    </row>
    <row r="180" spans="1:16" ht="23.25" customHeight="1">
      <c r="A180" s="40" t="s">
        <v>124</v>
      </c>
      <c r="B180" s="38" t="s">
        <v>64</v>
      </c>
      <c r="C180" s="11">
        <f>SUMPRODUCT((Diário!$E$4:$E$2662='Analítico Cp.'!$B180)*(Diário!$C$4:$C$2662&gt;=C$4)*(Diário!$C$4:$C$2662&lt;=EOMONTH(C$4,0))*(Diário!$F$4:$F$2662))
+SUMPRODUCT(('Comp.'!$D$5:$D$402=$B180)*('Comp.'!$B$5:$B$402&gt;=C$4)*('Comp.'!$B$5:$B$402&lt;=EOMONTH(C$4,0))*('Comp.'!$E$5:$E$402))</f>
        <v>0</v>
      </c>
      <c r="D180" s="11">
        <f>SUMPRODUCT((Diário!$E$4:$E$2662='Analítico Cp.'!$B180)*(Diário!$C$4:$C$2662&gt;=D$4)*(Diário!$C$4:$C$2662&lt;=EOMONTH(D$4,0))*(Diário!$F$4:$F$2662))
+SUMPRODUCT(('Comp.'!$D$5:$D$402=$B180)*('Comp.'!$B$5:$B$402&gt;=D$4)*('Comp.'!$B$5:$B$402&lt;=EOMONTH(D$4,0))*('Comp.'!$E$5:$E$402))</f>
        <v>0</v>
      </c>
      <c r="E180" s="11">
        <f>SUMPRODUCT((Diário!$E$4:$E$2662='Analítico Cp.'!$B180)*(Diário!$C$4:$C$2662&gt;=E$4)*(Diário!$C$4:$C$2662&lt;=EOMONTH(E$4,0))*(Diário!$F$4:$F$2662))
+SUMPRODUCT(('Comp.'!$D$5:$D$402=$B180)*('Comp.'!$B$5:$B$402&gt;=E$4)*('Comp.'!$B$5:$B$402&lt;=EOMONTH(E$4,0))*('Comp.'!$E$5:$E$402))</f>
        <v>0</v>
      </c>
      <c r="F180" s="11">
        <f>SUMPRODUCT((Diário!$E$4:$E$2662='Analítico Cp.'!$B180)*(Diário!$C$4:$C$2662&gt;=F$4)*(Diário!$C$4:$C$2662&lt;=EOMONTH(F$4,0))*(Diário!$F$4:$F$2662))
+SUMPRODUCT(('Comp.'!$D$5:$D$402=$B180)*('Comp.'!$B$5:$B$402&gt;=F$4)*('Comp.'!$B$5:$B$402&lt;=EOMONTH(F$4,0))*('Comp.'!$E$5:$E$402))</f>
        <v>0</v>
      </c>
      <c r="G180" s="11">
        <f>SUMPRODUCT((Diário!$E$4:$E$2662='Analítico Cp.'!$B180)*(Diário!$C$4:$C$2662&gt;=G$4)*(Diário!$C$4:$C$2662&lt;=EOMONTH(G$4,0))*(Diário!$F$4:$F$2662))
+SUMPRODUCT(('Comp.'!$D$5:$D$402=$B180)*('Comp.'!$B$5:$B$402&gt;=G$4)*('Comp.'!$B$5:$B$402&lt;=EOMONTH(G$4,0))*('Comp.'!$E$5:$E$402))</f>
        <v>0</v>
      </c>
      <c r="H180" s="11">
        <f>SUMPRODUCT((Diário!$E$4:$E$2662='Analítico Cp.'!$B180)*(Diário!$C$4:$C$2662&gt;=H$4)*(Diário!$C$4:$C$2662&lt;=EOMONTH(H$4,0))*(Diário!$F$4:$F$2662))
+SUMPRODUCT(('Comp.'!$D$5:$D$402=$B180)*('Comp.'!$B$5:$B$402&gt;=H$4)*('Comp.'!$B$5:$B$402&lt;=EOMONTH(H$4,0))*('Comp.'!$E$5:$E$402))</f>
        <v>0</v>
      </c>
      <c r="I180" s="11">
        <f>SUMPRODUCT((Diário!$E$4:$E$2662='Analítico Cp.'!$B180)*(Diário!$C$4:$C$2662&gt;=I$4)*(Diário!$C$4:$C$2662&lt;=EOMONTH(I$4,0))*(Diário!$F$4:$F$2662))
+SUMPRODUCT(('Comp.'!$D$5:$D$402=$B180)*('Comp.'!$B$5:$B$402&gt;=I$4)*('Comp.'!$B$5:$B$402&lt;=EOMONTH(I$4,0))*('Comp.'!$E$5:$E$402))</f>
        <v>0</v>
      </c>
      <c r="J180" s="11">
        <f>SUMPRODUCT((Diário!$E$4:$E$2662='Analítico Cp.'!$B180)*(Diário!$C$4:$C$2662&gt;=J$4)*(Diário!$C$4:$C$2662&lt;=EOMONTH(J$4,0))*(Diário!$F$4:$F$2662))
+SUMPRODUCT(('Comp.'!$D$5:$D$402=$B180)*('Comp.'!$B$5:$B$402&gt;=J$4)*('Comp.'!$B$5:$B$402&lt;=EOMONTH(J$4,0))*('Comp.'!$E$5:$E$402))</f>
        <v>0</v>
      </c>
      <c r="K180" s="11">
        <f>SUMPRODUCT((Diário!$E$4:$E$2662='Analítico Cp.'!$B180)*(Diário!$C$4:$C$2662&gt;=K$4)*(Diário!$C$4:$C$2662&lt;=EOMONTH(K$4,0))*(Diário!$F$4:$F$2662))
+SUMPRODUCT(('Comp.'!$D$5:$D$402=$B180)*('Comp.'!$B$5:$B$402&gt;=K$4)*('Comp.'!$B$5:$B$402&lt;=EOMONTH(K$4,0))*('Comp.'!$E$5:$E$402))</f>
        <v>0</v>
      </c>
      <c r="L180" s="11">
        <f>SUMPRODUCT((Diário!$E$4:$E$2662='Analítico Cp.'!$B180)*(Diário!$C$4:$C$2662&gt;=L$4)*(Diário!$C$4:$C$2662&lt;=EOMONTH(L$4,0))*(Diário!$F$4:$F$2662))
+SUMPRODUCT(('Comp.'!$D$5:$D$402=$B180)*('Comp.'!$B$5:$B$402&gt;=L$4)*('Comp.'!$B$5:$B$402&lt;=EOMONTH(L$4,0))*('Comp.'!$E$5:$E$402))</f>
        <v>0</v>
      </c>
      <c r="M180" s="11">
        <f>SUMPRODUCT((Diário!$E$4:$E$2662='Analítico Cp.'!$B180)*(Diário!$C$4:$C$2662&gt;=M$4)*(Diário!$C$4:$C$2662&lt;=EOMONTH(M$4,0))*(Diário!$F$4:$F$2662))
+SUMPRODUCT(('Comp.'!$D$5:$D$402=$B180)*('Comp.'!$B$5:$B$402&gt;=M$4)*('Comp.'!$B$5:$B$402&lt;=EOMONTH(M$4,0))*('Comp.'!$E$5:$E$402))</f>
        <v>0</v>
      </c>
      <c r="N180" s="11">
        <f>SUMPRODUCT((Diário!$E$4:$E$2662='Analítico Cp.'!$B180)*(Diário!$C$4:$C$2662&gt;=N$4)*(Diário!$C$4:$C$2662&lt;=EOMONTH(N$4,0))*(Diário!$F$4:$F$2662))
+SUMPRODUCT(('Comp.'!$D$5:$D$402=$B180)*('Comp.'!$B$5:$B$402&gt;=N$4)*('Comp.'!$B$5:$B$402&lt;=EOMONTH(N$4,0))*('Comp.'!$E$5:$E$402))</f>
        <v>0</v>
      </c>
      <c r="O180" s="12">
        <f t="shared" si="19"/>
        <v>0</v>
      </c>
      <c r="P180" s="95">
        <f t="shared" si="20"/>
        <v>0</v>
      </c>
    </row>
    <row r="181" spans="1:16" ht="23.25" customHeight="1">
      <c r="A181" s="40" t="s">
        <v>125</v>
      </c>
      <c r="B181" s="38" t="s">
        <v>208</v>
      </c>
      <c r="C181" s="11">
        <f>SUMPRODUCT((Diário!$E$4:$E$2662='Analítico Cp.'!$B181)*(Diário!$C$4:$C$2662&gt;=C$4)*(Diário!$C$4:$C$2662&lt;=EOMONTH(C$4,0))*(Diário!$F$4:$F$2662))
+SUMPRODUCT(('Comp.'!$D$5:$D$402=$B181)*('Comp.'!$B$5:$B$402&gt;=C$4)*('Comp.'!$B$5:$B$402&lt;=EOMONTH(C$4,0))*('Comp.'!$E$5:$E$402))</f>
        <v>0</v>
      </c>
      <c r="D181" s="11">
        <f>SUMPRODUCT((Diário!$E$4:$E$2662='Analítico Cp.'!$B181)*(Diário!$C$4:$C$2662&gt;=D$4)*(Diário!$C$4:$C$2662&lt;=EOMONTH(D$4,0))*(Diário!$F$4:$F$2662))
+SUMPRODUCT(('Comp.'!$D$5:$D$402=$B181)*('Comp.'!$B$5:$B$402&gt;=D$4)*('Comp.'!$B$5:$B$402&lt;=EOMONTH(D$4,0))*('Comp.'!$E$5:$E$402))</f>
        <v>0</v>
      </c>
      <c r="E181" s="11">
        <f>SUMPRODUCT((Diário!$E$4:$E$2662='Analítico Cp.'!$B181)*(Diário!$C$4:$C$2662&gt;=E$4)*(Diário!$C$4:$C$2662&lt;=EOMONTH(E$4,0))*(Diário!$F$4:$F$2662))
+SUMPRODUCT(('Comp.'!$D$5:$D$402=$B181)*('Comp.'!$B$5:$B$402&gt;=E$4)*('Comp.'!$B$5:$B$402&lt;=EOMONTH(E$4,0))*('Comp.'!$E$5:$E$402))</f>
        <v>0</v>
      </c>
      <c r="F181" s="11">
        <f>SUMPRODUCT((Diário!$E$4:$E$2662='Analítico Cp.'!$B181)*(Diário!$C$4:$C$2662&gt;=F$4)*(Diário!$C$4:$C$2662&lt;=EOMONTH(F$4,0))*(Diário!$F$4:$F$2662))
+SUMPRODUCT(('Comp.'!$D$5:$D$402=$B181)*('Comp.'!$B$5:$B$402&gt;=F$4)*('Comp.'!$B$5:$B$402&lt;=EOMONTH(F$4,0))*('Comp.'!$E$5:$E$402))</f>
        <v>0</v>
      </c>
      <c r="G181" s="11">
        <f>SUMPRODUCT((Diário!$E$4:$E$2662='Analítico Cp.'!$B181)*(Diário!$C$4:$C$2662&gt;=G$4)*(Diário!$C$4:$C$2662&lt;=EOMONTH(G$4,0))*(Diário!$F$4:$F$2662))
+SUMPRODUCT(('Comp.'!$D$5:$D$402=$B181)*('Comp.'!$B$5:$B$402&gt;=G$4)*('Comp.'!$B$5:$B$402&lt;=EOMONTH(G$4,0))*('Comp.'!$E$5:$E$402))</f>
        <v>0</v>
      </c>
      <c r="H181" s="11">
        <f>SUMPRODUCT((Diário!$E$4:$E$2662='Analítico Cp.'!$B181)*(Diário!$C$4:$C$2662&gt;=H$4)*(Diário!$C$4:$C$2662&lt;=EOMONTH(H$4,0))*(Diário!$F$4:$F$2662))
+SUMPRODUCT(('Comp.'!$D$5:$D$402=$B181)*('Comp.'!$B$5:$B$402&gt;=H$4)*('Comp.'!$B$5:$B$402&lt;=EOMONTH(H$4,0))*('Comp.'!$E$5:$E$402))</f>
        <v>0</v>
      </c>
      <c r="I181" s="11">
        <f>SUMPRODUCT((Diário!$E$4:$E$2662='Analítico Cp.'!$B181)*(Diário!$C$4:$C$2662&gt;=I$4)*(Diário!$C$4:$C$2662&lt;=EOMONTH(I$4,0))*(Diário!$F$4:$F$2662))
+SUMPRODUCT(('Comp.'!$D$5:$D$402=$B181)*('Comp.'!$B$5:$B$402&gt;=I$4)*('Comp.'!$B$5:$B$402&lt;=EOMONTH(I$4,0))*('Comp.'!$E$5:$E$402))</f>
        <v>0</v>
      </c>
      <c r="J181" s="11">
        <f>SUMPRODUCT((Diário!$E$4:$E$2662='Analítico Cp.'!$B181)*(Diário!$C$4:$C$2662&gt;=J$4)*(Diário!$C$4:$C$2662&lt;=EOMONTH(J$4,0))*(Diário!$F$4:$F$2662))
+SUMPRODUCT(('Comp.'!$D$5:$D$402=$B181)*('Comp.'!$B$5:$B$402&gt;=J$4)*('Comp.'!$B$5:$B$402&lt;=EOMONTH(J$4,0))*('Comp.'!$E$5:$E$402))</f>
        <v>0</v>
      </c>
      <c r="K181" s="11">
        <f>SUMPRODUCT((Diário!$E$4:$E$2662='Analítico Cp.'!$B181)*(Diário!$C$4:$C$2662&gt;=K$4)*(Diário!$C$4:$C$2662&lt;=EOMONTH(K$4,0))*(Diário!$F$4:$F$2662))
+SUMPRODUCT(('Comp.'!$D$5:$D$402=$B181)*('Comp.'!$B$5:$B$402&gt;=K$4)*('Comp.'!$B$5:$B$402&lt;=EOMONTH(K$4,0))*('Comp.'!$E$5:$E$402))</f>
        <v>0</v>
      </c>
      <c r="L181" s="11">
        <f>SUMPRODUCT((Diário!$E$4:$E$2662='Analítico Cp.'!$B181)*(Diário!$C$4:$C$2662&gt;=L$4)*(Diário!$C$4:$C$2662&lt;=EOMONTH(L$4,0))*(Diário!$F$4:$F$2662))
+SUMPRODUCT(('Comp.'!$D$5:$D$402=$B181)*('Comp.'!$B$5:$B$402&gt;=L$4)*('Comp.'!$B$5:$B$402&lt;=EOMONTH(L$4,0))*('Comp.'!$E$5:$E$402))</f>
        <v>0</v>
      </c>
      <c r="M181" s="11">
        <f>SUMPRODUCT((Diário!$E$4:$E$2662='Analítico Cp.'!$B181)*(Diário!$C$4:$C$2662&gt;=M$4)*(Diário!$C$4:$C$2662&lt;=EOMONTH(M$4,0))*(Diário!$F$4:$F$2662))
+SUMPRODUCT(('Comp.'!$D$5:$D$402=$B181)*('Comp.'!$B$5:$B$402&gt;=M$4)*('Comp.'!$B$5:$B$402&lt;=EOMONTH(M$4,0))*('Comp.'!$E$5:$E$402))</f>
        <v>0</v>
      </c>
      <c r="N181" s="11">
        <f>SUMPRODUCT((Diário!$E$4:$E$2662='Analítico Cp.'!$B181)*(Diário!$C$4:$C$2662&gt;=N$4)*(Diário!$C$4:$C$2662&lt;=EOMONTH(N$4,0))*(Diário!$F$4:$F$2662))
+SUMPRODUCT(('Comp.'!$D$5:$D$402=$B181)*('Comp.'!$B$5:$B$402&gt;=N$4)*('Comp.'!$B$5:$B$402&lt;=EOMONTH(N$4,0))*('Comp.'!$E$5:$E$402))</f>
        <v>0</v>
      </c>
      <c r="O181" s="12">
        <f t="shared" si="19"/>
        <v>0</v>
      </c>
      <c r="P181" s="95">
        <f t="shared" si="20"/>
        <v>0</v>
      </c>
    </row>
    <row r="182" spans="1:16" ht="23.25" customHeight="1">
      <c r="A182" s="40" t="s">
        <v>126</v>
      </c>
      <c r="B182" s="38" t="s">
        <v>213</v>
      </c>
      <c r="C182" s="11">
        <f>SUMPRODUCT((Diário!$E$4:$E$2662='Analítico Cp.'!$B182)*(Diário!$C$4:$C$2662&gt;=C$4)*(Diário!$C$4:$C$2662&lt;=EOMONTH(C$4,0))*(Diário!$F$4:$F$2662))
+SUMPRODUCT(('Comp.'!$D$5:$D$402=$B182)*('Comp.'!$B$5:$B$402&gt;=C$4)*('Comp.'!$B$5:$B$402&lt;=EOMONTH(C$4,0))*('Comp.'!$E$5:$E$402))</f>
        <v>0</v>
      </c>
      <c r="D182" s="11">
        <f>SUMPRODUCT((Diário!$E$4:$E$2662='Analítico Cp.'!$B182)*(Diário!$C$4:$C$2662&gt;=D$4)*(Diário!$C$4:$C$2662&lt;=EOMONTH(D$4,0))*(Diário!$F$4:$F$2662))
+SUMPRODUCT(('Comp.'!$D$5:$D$402=$B182)*('Comp.'!$B$5:$B$402&gt;=D$4)*('Comp.'!$B$5:$B$402&lt;=EOMONTH(D$4,0))*('Comp.'!$E$5:$E$402))</f>
        <v>0</v>
      </c>
      <c r="E182" s="11">
        <f>SUMPRODUCT((Diário!$E$4:$E$2662='Analítico Cp.'!$B182)*(Diário!$C$4:$C$2662&gt;=E$4)*(Diário!$C$4:$C$2662&lt;=EOMONTH(E$4,0))*(Diário!$F$4:$F$2662))
+SUMPRODUCT(('Comp.'!$D$5:$D$402=$B182)*('Comp.'!$B$5:$B$402&gt;=E$4)*('Comp.'!$B$5:$B$402&lt;=EOMONTH(E$4,0))*('Comp.'!$E$5:$E$402))</f>
        <v>0</v>
      </c>
      <c r="F182" s="11">
        <f>SUMPRODUCT((Diário!$E$4:$E$2662='Analítico Cp.'!$B182)*(Diário!$C$4:$C$2662&gt;=F$4)*(Diário!$C$4:$C$2662&lt;=EOMONTH(F$4,0))*(Diário!$F$4:$F$2662))
+SUMPRODUCT(('Comp.'!$D$5:$D$402=$B182)*('Comp.'!$B$5:$B$402&gt;=F$4)*('Comp.'!$B$5:$B$402&lt;=EOMONTH(F$4,0))*('Comp.'!$E$5:$E$402))</f>
        <v>1654.9099999999999</v>
      </c>
      <c r="G182" s="11">
        <f>SUMPRODUCT((Diário!$E$4:$E$2662='Analítico Cp.'!$B182)*(Diário!$C$4:$C$2662&gt;=G$4)*(Diário!$C$4:$C$2662&lt;=EOMONTH(G$4,0))*(Diário!$F$4:$F$2662))
+SUMPRODUCT(('Comp.'!$D$5:$D$402=$B182)*('Comp.'!$B$5:$B$402&gt;=G$4)*('Comp.'!$B$5:$B$402&lt;=EOMONTH(G$4,0))*('Comp.'!$E$5:$E$402))</f>
        <v>0</v>
      </c>
      <c r="H182" s="11">
        <f>SUMPRODUCT((Diário!$E$4:$E$2662='Analítico Cp.'!$B182)*(Diário!$C$4:$C$2662&gt;=H$4)*(Diário!$C$4:$C$2662&lt;=EOMONTH(H$4,0))*(Diário!$F$4:$F$2662))
+SUMPRODUCT(('Comp.'!$D$5:$D$402=$B182)*('Comp.'!$B$5:$B$402&gt;=H$4)*('Comp.'!$B$5:$B$402&lt;=EOMONTH(H$4,0))*('Comp.'!$E$5:$E$402))</f>
        <v>0</v>
      </c>
      <c r="I182" s="11">
        <f>SUMPRODUCT((Diário!$E$4:$E$2662='Analítico Cp.'!$B182)*(Diário!$C$4:$C$2662&gt;=I$4)*(Diário!$C$4:$C$2662&lt;=EOMONTH(I$4,0))*(Diário!$F$4:$F$2662))
+SUMPRODUCT(('Comp.'!$D$5:$D$402=$B182)*('Comp.'!$B$5:$B$402&gt;=I$4)*('Comp.'!$B$5:$B$402&lt;=EOMONTH(I$4,0))*('Comp.'!$E$5:$E$402))</f>
        <v>0</v>
      </c>
      <c r="J182" s="11">
        <f>SUMPRODUCT((Diário!$E$4:$E$2662='Analítico Cp.'!$B182)*(Diário!$C$4:$C$2662&gt;=J$4)*(Diário!$C$4:$C$2662&lt;=EOMONTH(J$4,0))*(Diário!$F$4:$F$2662))
+SUMPRODUCT(('Comp.'!$D$5:$D$402=$B182)*('Comp.'!$B$5:$B$402&gt;=J$4)*('Comp.'!$B$5:$B$402&lt;=EOMONTH(J$4,0))*('Comp.'!$E$5:$E$402))</f>
        <v>0</v>
      </c>
      <c r="K182" s="11">
        <f>SUMPRODUCT((Diário!$E$4:$E$2662='Analítico Cp.'!$B182)*(Diário!$C$4:$C$2662&gt;=K$4)*(Diário!$C$4:$C$2662&lt;=EOMONTH(K$4,0))*(Diário!$F$4:$F$2662))
+SUMPRODUCT(('Comp.'!$D$5:$D$402=$B182)*('Comp.'!$B$5:$B$402&gt;=K$4)*('Comp.'!$B$5:$B$402&lt;=EOMONTH(K$4,0))*('Comp.'!$E$5:$E$402))</f>
        <v>0</v>
      </c>
      <c r="L182" s="11">
        <f>SUMPRODUCT((Diário!$E$4:$E$2662='Analítico Cp.'!$B182)*(Diário!$C$4:$C$2662&gt;=L$4)*(Diário!$C$4:$C$2662&lt;=EOMONTH(L$4,0))*(Diário!$F$4:$F$2662))
+SUMPRODUCT(('Comp.'!$D$5:$D$402=$B182)*('Comp.'!$B$5:$B$402&gt;=L$4)*('Comp.'!$B$5:$B$402&lt;=EOMONTH(L$4,0))*('Comp.'!$E$5:$E$402))</f>
        <v>0</v>
      </c>
      <c r="M182" s="11">
        <f>SUMPRODUCT((Diário!$E$4:$E$2662='Analítico Cp.'!$B182)*(Diário!$C$4:$C$2662&gt;=M$4)*(Diário!$C$4:$C$2662&lt;=EOMONTH(M$4,0))*(Diário!$F$4:$F$2662))
+SUMPRODUCT(('Comp.'!$D$5:$D$402=$B182)*('Comp.'!$B$5:$B$402&gt;=M$4)*('Comp.'!$B$5:$B$402&lt;=EOMONTH(M$4,0))*('Comp.'!$E$5:$E$402))</f>
        <v>0</v>
      </c>
      <c r="N182" s="11">
        <f>SUMPRODUCT((Diário!$E$4:$E$2662='Analítico Cp.'!$B182)*(Diário!$C$4:$C$2662&gt;=N$4)*(Diário!$C$4:$C$2662&lt;=EOMONTH(N$4,0))*(Diário!$F$4:$F$2662))
+SUMPRODUCT(('Comp.'!$D$5:$D$402=$B182)*('Comp.'!$B$5:$B$402&gt;=N$4)*('Comp.'!$B$5:$B$402&lt;=EOMONTH(N$4,0))*('Comp.'!$E$5:$E$402))</f>
        <v>0</v>
      </c>
      <c r="O182" s="12">
        <f t="shared" si="19"/>
        <v>1654.9099999999999</v>
      </c>
      <c r="P182" s="95">
        <f t="shared" si="20"/>
        <v>8.2879308186817026E-5</v>
      </c>
    </row>
    <row r="183" spans="1:16" ht="23.25" customHeight="1">
      <c r="A183" s="40" t="s">
        <v>128</v>
      </c>
      <c r="B183" s="38" t="s">
        <v>211</v>
      </c>
      <c r="C183" s="11">
        <f>SUMPRODUCT((Diário!$E$4:$E$2662='Analítico Cp.'!$B183)*(Diário!$C$4:$C$2662&gt;=C$4)*(Diário!$C$4:$C$2662&lt;=EOMONTH(C$4,0))*(Diário!$F$4:$F$2662))
+SUMPRODUCT(('Comp.'!$D$5:$D$402=$B183)*('Comp.'!$B$5:$B$402&gt;=C$4)*('Comp.'!$B$5:$B$402&lt;=EOMONTH(C$4,0))*('Comp.'!$E$5:$E$402))</f>
        <v>0</v>
      </c>
      <c r="D183" s="11">
        <f>SUMPRODUCT((Diário!$E$4:$E$2662='Analítico Cp.'!$B183)*(Diário!$C$4:$C$2662&gt;=D$4)*(Diário!$C$4:$C$2662&lt;=EOMONTH(D$4,0))*(Diário!$F$4:$F$2662))
+SUMPRODUCT(('Comp.'!$D$5:$D$402=$B183)*('Comp.'!$B$5:$B$402&gt;=D$4)*('Comp.'!$B$5:$B$402&lt;=EOMONTH(D$4,0))*('Comp.'!$E$5:$E$402))</f>
        <v>0</v>
      </c>
      <c r="E183" s="11">
        <f>SUMPRODUCT((Diário!$E$4:$E$2662='Analítico Cp.'!$B183)*(Diário!$C$4:$C$2662&gt;=E$4)*(Diário!$C$4:$C$2662&lt;=EOMONTH(E$4,0))*(Diário!$F$4:$F$2662))
+SUMPRODUCT(('Comp.'!$D$5:$D$402=$B183)*('Comp.'!$B$5:$B$402&gt;=E$4)*('Comp.'!$B$5:$B$402&lt;=EOMONTH(E$4,0))*('Comp.'!$E$5:$E$402))</f>
        <v>0</v>
      </c>
      <c r="F183" s="11">
        <f>SUMPRODUCT((Diário!$E$4:$E$2662='Analítico Cp.'!$B183)*(Diário!$C$4:$C$2662&gt;=F$4)*(Diário!$C$4:$C$2662&lt;=EOMONTH(F$4,0))*(Diário!$F$4:$F$2662))
+SUMPRODUCT(('Comp.'!$D$5:$D$402=$B183)*('Comp.'!$B$5:$B$402&gt;=F$4)*('Comp.'!$B$5:$B$402&lt;=EOMONTH(F$4,0))*('Comp.'!$E$5:$E$402))</f>
        <v>0</v>
      </c>
      <c r="G183" s="11">
        <f>SUMPRODUCT((Diário!$E$4:$E$2662='Analítico Cp.'!$B183)*(Diário!$C$4:$C$2662&gt;=G$4)*(Diário!$C$4:$C$2662&lt;=EOMONTH(G$4,0))*(Diário!$F$4:$F$2662))
+SUMPRODUCT(('Comp.'!$D$5:$D$402=$B183)*('Comp.'!$B$5:$B$402&gt;=G$4)*('Comp.'!$B$5:$B$402&lt;=EOMONTH(G$4,0))*('Comp.'!$E$5:$E$402))</f>
        <v>0</v>
      </c>
      <c r="H183" s="11">
        <f>SUMPRODUCT((Diário!$E$4:$E$2662='Analítico Cp.'!$B183)*(Diário!$C$4:$C$2662&gt;=H$4)*(Diário!$C$4:$C$2662&lt;=EOMONTH(H$4,0))*(Diário!$F$4:$F$2662))
+SUMPRODUCT(('Comp.'!$D$5:$D$402=$B183)*('Comp.'!$B$5:$B$402&gt;=H$4)*('Comp.'!$B$5:$B$402&lt;=EOMONTH(H$4,0))*('Comp.'!$E$5:$E$402))</f>
        <v>0</v>
      </c>
      <c r="I183" s="11">
        <f>SUMPRODUCT((Diário!$E$4:$E$2662='Analítico Cp.'!$B183)*(Diário!$C$4:$C$2662&gt;=I$4)*(Diário!$C$4:$C$2662&lt;=EOMONTH(I$4,0))*(Diário!$F$4:$F$2662))
+SUMPRODUCT(('Comp.'!$D$5:$D$402=$B183)*('Comp.'!$B$5:$B$402&gt;=I$4)*('Comp.'!$B$5:$B$402&lt;=EOMONTH(I$4,0))*('Comp.'!$E$5:$E$402))</f>
        <v>0</v>
      </c>
      <c r="J183" s="11">
        <f>SUMPRODUCT((Diário!$E$4:$E$2662='Analítico Cp.'!$B183)*(Diário!$C$4:$C$2662&gt;=J$4)*(Diário!$C$4:$C$2662&lt;=EOMONTH(J$4,0))*(Diário!$F$4:$F$2662))
+SUMPRODUCT(('Comp.'!$D$5:$D$402=$B183)*('Comp.'!$B$5:$B$402&gt;=J$4)*('Comp.'!$B$5:$B$402&lt;=EOMONTH(J$4,0))*('Comp.'!$E$5:$E$402))</f>
        <v>0</v>
      </c>
      <c r="K183" s="11">
        <f>SUMPRODUCT((Diário!$E$4:$E$2662='Analítico Cp.'!$B183)*(Diário!$C$4:$C$2662&gt;=K$4)*(Diário!$C$4:$C$2662&lt;=EOMONTH(K$4,0))*(Diário!$F$4:$F$2662))
+SUMPRODUCT(('Comp.'!$D$5:$D$402=$B183)*('Comp.'!$B$5:$B$402&gt;=K$4)*('Comp.'!$B$5:$B$402&lt;=EOMONTH(K$4,0))*('Comp.'!$E$5:$E$402))</f>
        <v>0</v>
      </c>
      <c r="L183" s="11">
        <f>SUMPRODUCT((Diário!$E$4:$E$2662='Analítico Cp.'!$B183)*(Diário!$C$4:$C$2662&gt;=L$4)*(Diário!$C$4:$C$2662&lt;=EOMONTH(L$4,0))*(Diário!$F$4:$F$2662))
+SUMPRODUCT(('Comp.'!$D$5:$D$402=$B183)*('Comp.'!$B$5:$B$402&gt;=L$4)*('Comp.'!$B$5:$B$402&lt;=EOMONTH(L$4,0))*('Comp.'!$E$5:$E$402))</f>
        <v>0</v>
      </c>
      <c r="M183" s="11">
        <f>SUMPRODUCT((Diário!$E$4:$E$2662='Analítico Cp.'!$B183)*(Diário!$C$4:$C$2662&gt;=M$4)*(Diário!$C$4:$C$2662&lt;=EOMONTH(M$4,0))*(Diário!$F$4:$F$2662))
+SUMPRODUCT(('Comp.'!$D$5:$D$402=$B183)*('Comp.'!$B$5:$B$402&gt;=M$4)*('Comp.'!$B$5:$B$402&lt;=EOMONTH(M$4,0))*('Comp.'!$E$5:$E$402))</f>
        <v>0</v>
      </c>
      <c r="N183" s="11">
        <f>SUMPRODUCT((Diário!$E$4:$E$2662='Analítico Cp.'!$B183)*(Diário!$C$4:$C$2662&gt;=N$4)*(Diário!$C$4:$C$2662&lt;=EOMONTH(N$4,0))*(Diário!$F$4:$F$2662))
+SUMPRODUCT(('Comp.'!$D$5:$D$402=$B183)*('Comp.'!$B$5:$B$402&gt;=N$4)*('Comp.'!$B$5:$B$402&lt;=EOMONTH(N$4,0))*('Comp.'!$E$5:$E$402))</f>
        <v>0</v>
      </c>
      <c r="O183" s="12">
        <f t="shared" si="19"/>
        <v>0</v>
      </c>
      <c r="P183" s="95">
        <f t="shared" si="20"/>
        <v>0</v>
      </c>
    </row>
    <row r="184" spans="1:16" ht="23.25" customHeight="1">
      <c r="A184" s="40" t="s">
        <v>130</v>
      </c>
      <c r="B184" s="38" t="s">
        <v>216</v>
      </c>
      <c r="C184" s="11">
        <f>SUMPRODUCT((Diário!$E$4:$E$2662='Analítico Cp.'!$B184)*(Diário!$C$4:$C$2662&gt;=C$4)*(Diário!$C$4:$C$2662&lt;=EOMONTH(C$4,0))*(Diário!$F$4:$F$2662))
+SUMPRODUCT(('Comp.'!$D$5:$D$402=$B184)*('Comp.'!$B$5:$B$402&gt;=C$4)*('Comp.'!$B$5:$B$402&lt;=EOMONTH(C$4,0))*('Comp.'!$E$5:$E$402))</f>
        <v>0</v>
      </c>
      <c r="D184" s="11">
        <f>SUMPRODUCT((Diário!$E$4:$E$2662='Analítico Cp.'!$B184)*(Diário!$C$4:$C$2662&gt;=D$4)*(Diário!$C$4:$C$2662&lt;=EOMONTH(D$4,0))*(Diário!$F$4:$F$2662))
+SUMPRODUCT(('Comp.'!$D$5:$D$402=$B184)*('Comp.'!$B$5:$B$402&gt;=D$4)*('Comp.'!$B$5:$B$402&lt;=EOMONTH(D$4,0))*('Comp.'!$E$5:$E$402))</f>
        <v>0</v>
      </c>
      <c r="E184" s="11">
        <f>SUMPRODUCT((Diário!$E$4:$E$2662='Analítico Cp.'!$B184)*(Diário!$C$4:$C$2662&gt;=E$4)*(Diário!$C$4:$C$2662&lt;=EOMONTH(E$4,0))*(Diário!$F$4:$F$2662))
+SUMPRODUCT(('Comp.'!$D$5:$D$402=$B184)*('Comp.'!$B$5:$B$402&gt;=E$4)*('Comp.'!$B$5:$B$402&lt;=EOMONTH(E$4,0))*('Comp.'!$E$5:$E$402))</f>
        <v>0</v>
      </c>
      <c r="F184" s="11">
        <f>SUMPRODUCT((Diário!$E$4:$E$2662='Analítico Cp.'!$B184)*(Diário!$C$4:$C$2662&gt;=F$4)*(Diário!$C$4:$C$2662&lt;=EOMONTH(F$4,0))*(Diário!$F$4:$F$2662))
+SUMPRODUCT(('Comp.'!$D$5:$D$402=$B184)*('Comp.'!$B$5:$B$402&gt;=F$4)*('Comp.'!$B$5:$B$402&lt;=EOMONTH(F$4,0))*('Comp.'!$E$5:$E$402))</f>
        <v>0</v>
      </c>
      <c r="G184" s="11">
        <f>SUMPRODUCT((Diário!$E$4:$E$2662='Analítico Cp.'!$B184)*(Diário!$C$4:$C$2662&gt;=G$4)*(Diário!$C$4:$C$2662&lt;=EOMONTH(G$4,0))*(Diário!$F$4:$F$2662))
+SUMPRODUCT(('Comp.'!$D$5:$D$402=$B184)*('Comp.'!$B$5:$B$402&gt;=G$4)*('Comp.'!$B$5:$B$402&lt;=EOMONTH(G$4,0))*('Comp.'!$E$5:$E$402))</f>
        <v>0</v>
      </c>
      <c r="H184" s="11">
        <f>SUMPRODUCT((Diário!$E$4:$E$2662='Analítico Cp.'!$B184)*(Diário!$C$4:$C$2662&gt;=H$4)*(Diário!$C$4:$C$2662&lt;=EOMONTH(H$4,0))*(Diário!$F$4:$F$2662))
+SUMPRODUCT(('Comp.'!$D$5:$D$402=$B184)*('Comp.'!$B$5:$B$402&gt;=H$4)*('Comp.'!$B$5:$B$402&lt;=EOMONTH(H$4,0))*('Comp.'!$E$5:$E$402))</f>
        <v>0</v>
      </c>
      <c r="I184" s="11">
        <f>SUMPRODUCT((Diário!$E$4:$E$2662='Analítico Cp.'!$B184)*(Diário!$C$4:$C$2662&gt;=I$4)*(Diário!$C$4:$C$2662&lt;=EOMONTH(I$4,0))*(Diário!$F$4:$F$2662))
+SUMPRODUCT(('Comp.'!$D$5:$D$402=$B184)*('Comp.'!$B$5:$B$402&gt;=I$4)*('Comp.'!$B$5:$B$402&lt;=EOMONTH(I$4,0))*('Comp.'!$E$5:$E$402))</f>
        <v>0</v>
      </c>
      <c r="J184" s="11">
        <f>SUMPRODUCT((Diário!$E$4:$E$2662='Analítico Cp.'!$B184)*(Diário!$C$4:$C$2662&gt;=J$4)*(Diário!$C$4:$C$2662&lt;=EOMONTH(J$4,0))*(Diário!$F$4:$F$2662))
+SUMPRODUCT(('Comp.'!$D$5:$D$402=$B184)*('Comp.'!$B$5:$B$402&gt;=J$4)*('Comp.'!$B$5:$B$402&lt;=EOMONTH(J$4,0))*('Comp.'!$E$5:$E$402))</f>
        <v>0</v>
      </c>
      <c r="K184" s="11">
        <f>SUMPRODUCT((Diário!$E$4:$E$2662='Analítico Cp.'!$B184)*(Diário!$C$4:$C$2662&gt;=K$4)*(Diário!$C$4:$C$2662&lt;=EOMONTH(K$4,0))*(Diário!$F$4:$F$2662))
+SUMPRODUCT(('Comp.'!$D$5:$D$402=$B184)*('Comp.'!$B$5:$B$402&gt;=K$4)*('Comp.'!$B$5:$B$402&lt;=EOMONTH(K$4,0))*('Comp.'!$E$5:$E$402))</f>
        <v>0</v>
      </c>
      <c r="L184" s="11">
        <f>SUMPRODUCT((Diário!$E$4:$E$2662='Analítico Cp.'!$B184)*(Diário!$C$4:$C$2662&gt;=L$4)*(Diário!$C$4:$C$2662&lt;=EOMONTH(L$4,0))*(Diário!$F$4:$F$2662))
+SUMPRODUCT(('Comp.'!$D$5:$D$402=$B184)*('Comp.'!$B$5:$B$402&gt;=L$4)*('Comp.'!$B$5:$B$402&lt;=EOMONTH(L$4,0))*('Comp.'!$E$5:$E$402))</f>
        <v>0</v>
      </c>
      <c r="M184" s="11">
        <f>SUMPRODUCT((Diário!$E$4:$E$2662='Analítico Cp.'!$B184)*(Diário!$C$4:$C$2662&gt;=M$4)*(Diário!$C$4:$C$2662&lt;=EOMONTH(M$4,0))*(Diário!$F$4:$F$2662))
+SUMPRODUCT(('Comp.'!$D$5:$D$402=$B184)*('Comp.'!$B$5:$B$402&gt;=M$4)*('Comp.'!$B$5:$B$402&lt;=EOMONTH(M$4,0))*('Comp.'!$E$5:$E$402))</f>
        <v>0</v>
      </c>
      <c r="N184" s="11">
        <f>SUMPRODUCT((Diário!$E$4:$E$2662='Analítico Cp.'!$B184)*(Diário!$C$4:$C$2662&gt;=N$4)*(Diário!$C$4:$C$2662&lt;=EOMONTH(N$4,0))*(Diário!$F$4:$F$2662))
+SUMPRODUCT(('Comp.'!$D$5:$D$402=$B184)*('Comp.'!$B$5:$B$402&gt;=N$4)*('Comp.'!$B$5:$B$402&lt;=EOMONTH(N$4,0))*('Comp.'!$E$5:$E$402))</f>
        <v>0</v>
      </c>
      <c r="O184" s="12">
        <f t="shared" si="19"/>
        <v>0</v>
      </c>
      <c r="P184" s="95">
        <f t="shared" si="20"/>
        <v>0</v>
      </c>
    </row>
    <row r="185" spans="1:16" ht="23.25" customHeight="1">
      <c r="A185" s="40" t="s">
        <v>131</v>
      </c>
      <c r="B185" s="38" t="s">
        <v>349</v>
      </c>
      <c r="C185" s="11">
        <f>SUMPRODUCT((Diário!$E$4:$E$2662='Analítico Cp.'!$B185)*(Diário!$C$4:$C$2662&gt;=C$4)*(Diário!$C$4:$C$2662&lt;=EOMONTH(C$4,0))*(Diário!$F$4:$F$2662))
+SUMPRODUCT(('Comp.'!$D$5:$D$402=$B185)*('Comp.'!$B$5:$B$402&gt;=C$4)*('Comp.'!$B$5:$B$402&lt;=EOMONTH(C$4,0))*('Comp.'!$E$5:$E$402))</f>
        <v>0</v>
      </c>
      <c r="D185" s="11">
        <f>SUMPRODUCT((Diário!$E$4:$E$2662='Analítico Cp.'!$B185)*(Diário!$C$4:$C$2662&gt;=D$4)*(Diário!$C$4:$C$2662&lt;=EOMONTH(D$4,0))*(Diário!$F$4:$F$2662))
+SUMPRODUCT(('Comp.'!$D$5:$D$402=$B185)*('Comp.'!$B$5:$B$402&gt;=D$4)*('Comp.'!$B$5:$B$402&lt;=EOMONTH(D$4,0))*('Comp.'!$E$5:$E$402))</f>
        <v>3092.8</v>
      </c>
      <c r="E185" s="11">
        <f>SUMPRODUCT((Diário!$E$4:$E$2662='Analítico Cp.'!$B185)*(Diário!$C$4:$C$2662&gt;=E$4)*(Diário!$C$4:$C$2662&lt;=EOMONTH(E$4,0))*(Diário!$F$4:$F$2662))
+SUMPRODUCT(('Comp.'!$D$5:$D$402=$B185)*('Comp.'!$B$5:$B$402&gt;=E$4)*('Comp.'!$B$5:$B$402&lt;=EOMONTH(E$4,0))*('Comp.'!$E$5:$E$402))</f>
        <v>22167</v>
      </c>
      <c r="F185" s="11">
        <f>SUMPRODUCT((Diário!$E$4:$E$2662='Analítico Cp.'!$B185)*(Diário!$C$4:$C$2662&gt;=F$4)*(Diário!$C$4:$C$2662&lt;=EOMONTH(F$4,0))*(Diário!$F$4:$F$2662))
+SUMPRODUCT(('Comp.'!$D$5:$D$402=$B185)*('Comp.'!$B$5:$B$402&gt;=F$4)*('Comp.'!$B$5:$B$402&lt;=EOMONTH(F$4,0))*('Comp.'!$E$5:$E$402))</f>
        <v>0</v>
      </c>
      <c r="G185" s="11">
        <f>SUMPRODUCT((Diário!$E$4:$E$2662='Analítico Cp.'!$B185)*(Diário!$C$4:$C$2662&gt;=G$4)*(Diário!$C$4:$C$2662&lt;=EOMONTH(G$4,0))*(Diário!$F$4:$F$2662))
+SUMPRODUCT(('Comp.'!$D$5:$D$402=$B185)*('Comp.'!$B$5:$B$402&gt;=G$4)*('Comp.'!$B$5:$B$402&lt;=EOMONTH(G$4,0))*('Comp.'!$E$5:$E$402))</f>
        <v>11120</v>
      </c>
      <c r="H185" s="11">
        <f>SUMPRODUCT((Diário!$E$4:$E$2662='Analítico Cp.'!$B185)*(Diário!$C$4:$C$2662&gt;=H$4)*(Diário!$C$4:$C$2662&lt;=EOMONTH(H$4,0))*(Diário!$F$4:$F$2662))
+SUMPRODUCT(('Comp.'!$D$5:$D$402=$B185)*('Comp.'!$B$5:$B$402&gt;=H$4)*('Comp.'!$B$5:$B$402&lt;=EOMONTH(H$4,0))*('Comp.'!$E$5:$E$402))</f>
        <v>0</v>
      </c>
      <c r="I185" s="11">
        <f>SUMPRODUCT((Diário!$E$4:$E$2662='Analítico Cp.'!$B185)*(Diário!$C$4:$C$2662&gt;=I$4)*(Diário!$C$4:$C$2662&lt;=EOMONTH(I$4,0))*(Diário!$F$4:$F$2662))
+SUMPRODUCT(('Comp.'!$D$5:$D$402=$B185)*('Comp.'!$B$5:$B$402&gt;=I$4)*('Comp.'!$B$5:$B$402&lt;=EOMONTH(I$4,0))*('Comp.'!$E$5:$E$402))</f>
        <v>0</v>
      </c>
      <c r="J185" s="11">
        <f>SUMPRODUCT((Diário!$E$4:$E$2662='Analítico Cp.'!$B185)*(Diário!$C$4:$C$2662&gt;=J$4)*(Diário!$C$4:$C$2662&lt;=EOMONTH(J$4,0))*(Diário!$F$4:$F$2662))
+SUMPRODUCT(('Comp.'!$D$5:$D$402=$B185)*('Comp.'!$B$5:$B$402&gt;=J$4)*('Comp.'!$B$5:$B$402&lt;=EOMONTH(J$4,0))*('Comp.'!$E$5:$E$402))</f>
        <v>0</v>
      </c>
      <c r="K185" s="11">
        <f>SUMPRODUCT((Diário!$E$4:$E$2662='Analítico Cp.'!$B185)*(Diário!$C$4:$C$2662&gt;=K$4)*(Diário!$C$4:$C$2662&lt;=EOMONTH(K$4,0))*(Diário!$F$4:$F$2662))
+SUMPRODUCT(('Comp.'!$D$5:$D$402=$B185)*('Comp.'!$B$5:$B$402&gt;=K$4)*('Comp.'!$B$5:$B$402&lt;=EOMONTH(K$4,0))*('Comp.'!$E$5:$E$402))</f>
        <v>0</v>
      </c>
      <c r="L185" s="11">
        <f>SUMPRODUCT((Diário!$E$4:$E$2662='Analítico Cp.'!$B185)*(Diário!$C$4:$C$2662&gt;=L$4)*(Diário!$C$4:$C$2662&lt;=EOMONTH(L$4,0))*(Diário!$F$4:$F$2662))
+SUMPRODUCT(('Comp.'!$D$5:$D$402=$B185)*('Comp.'!$B$5:$B$402&gt;=L$4)*('Comp.'!$B$5:$B$402&lt;=EOMONTH(L$4,0))*('Comp.'!$E$5:$E$402))</f>
        <v>0</v>
      </c>
      <c r="M185" s="11">
        <f>SUMPRODUCT((Diário!$E$4:$E$2662='Analítico Cp.'!$B185)*(Diário!$C$4:$C$2662&gt;=M$4)*(Diário!$C$4:$C$2662&lt;=EOMONTH(M$4,0))*(Diário!$F$4:$F$2662))
+SUMPRODUCT(('Comp.'!$D$5:$D$402=$B185)*('Comp.'!$B$5:$B$402&gt;=M$4)*('Comp.'!$B$5:$B$402&lt;=EOMONTH(M$4,0))*('Comp.'!$E$5:$E$402))</f>
        <v>0</v>
      </c>
      <c r="N185" s="11">
        <f>SUMPRODUCT((Diário!$E$4:$E$2662='Analítico Cp.'!$B185)*(Diário!$C$4:$C$2662&gt;=N$4)*(Diário!$C$4:$C$2662&lt;=EOMONTH(N$4,0))*(Diário!$F$4:$F$2662))
+SUMPRODUCT(('Comp.'!$D$5:$D$402=$B185)*('Comp.'!$B$5:$B$402&gt;=N$4)*('Comp.'!$B$5:$B$402&lt;=EOMONTH(N$4,0))*('Comp.'!$E$5:$E$402))</f>
        <v>0</v>
      </c>
      <c r="O185" s="12">
        <f t="shared" ref="O185" si="21">SUM(C185:N185)</f>
        <v>36379.800000000003</v>
      </c>
      <c r="P185" s="95">
        <f t="shared" si="20"/>
        <v>1.8219314983743929E-3</v>
      </c>
    </row>
    <row r="186" spans="1:16" ht="23.25" customHeight="1">
      <c r="A186" s="40" t="s">
        <v>350</v>
      </c>
      <c r="B186" s="41" t="s">
        <v>219</v>
      </c>
      <c r="C186" s="11">
        <f>SUMPRODUCT((Diário!$E$4:$E$2662='Analítico Cp.'!$B186)*(Diário!$C$4:$C$2662&gt;=C$4)*(Diário!$C$4:$C$2662&lt;=EOMONTH(C$4,0))*(Diário!$F$4:$F$2662))
+SUMPRODUCT(('Comp.'!$D$5:$D$402=$B186)*('Comp.'!$B$5:$B$402&gt;=C$4)*('Comp.'!$B$5:$B$402&lt;=EOMONTH(C$4,0))*('Comp.'!$E$5:$E$402))</f>
        <v>0</v>
      </c>
      <c r="D186" s="11">
        <f>SUMPRODUCT((Diário!$E$4:$E$2662='Analítico Cp.'!$B186)*(Diário!$C$4:$C$2662&gt;=D$4)*(Diário!$C$4:$C$2662&lt;=EOMONTH(D$4,0))*(Diário!$F$4:$F$2662))
+SUMPRODUCT(('Comp.'!$D$5:$D$402=$B186)*('Comp.'!$B$5:$B$402&gt;=D$4)*('Comp.'!$B$5:$B$402&lt;=EOMONTH(D$4,0))*('Comp.'!$E$5:$E$402))</f>
        <v>0</v>
      </c>
      <c r="E186" s="11">
        <f>SUMPRODUCT((Diário!$E$4:$E$2662='Analítico Cp.'!$B186)*(Diário!$C$4:$C$2662&gt;=E$4)*(Diário!$C$4:$C$2662&lt;=EOMONTH(E$4,0))*(Diário!$F$4:$F$2662))
+SUMPRODUCT(('Comp.'!$D$5:$D$402=$B186)*('Comp.'!$B$5:$B$402&gt;=E$4)*('Comp.'!$B$5:$B$402&lt;=EOMONTH(E$4,0))*('Comp.'!$E$5:$E$402))</f>
        <v>0</v>
      </c>
      <c r="F186" s="11">
        <f>SUMPRODUCT((Diário!$E$4:$E$2662='Analítico Cp.'!$B186)*(Diário!$C$4:$C$2662&gt;=F$4)*(Diário!$C$4:$C$2662&lt;=EOMONTH(F$4,0))*(Diário!$F$4:$F$2662))
+SUMPRODUCT(('Comp.'!$D$5:$D$402=$B186)*('Comp.'!$B$5:$B$402&gt;=F$4)*('Comp.'!$B$5:$B$402&lt;=EOMONTH(F$4,0))*('Comp.'!$E$5:$E$402))</f>
        <v>0</v>
      </c>
      <c r="G186" s="11">
        <f>SUMPRODUCT((Diário!$E$4:$E$2662='Analítico Cp.'!$B186)*(Diário!$C$4:$C$2662&gt;=G$4)*(Diário!$C$4:$C$2662&lt;=EOMONTH(G$4,0))*(Diário!$F$4:$F$2662))
+SUMPRODUCT(('Comp.'!$D$5:$D$402=$B186)*('Comp.'!$B$5:$B$402&gt;=G$4)*('Comp.'!$B$5:$B$402&lt;=EOMONTH(G$4,0))*('Comp.'!$E$5:$E$402))</f>
        <v>0</v>
      </c>
      <c r="H186" s="11">
        <f>SUMPRODUCT((Diário!$E$4:$E$2662='Analítico Cp.'!$B186)*(Diário!$C$4:$C$2662&gt;=H$4)*(Diário!$C$4:$C$2662&lt;=EOMONTH(H$4,0))*(Diário!$F$4:$F$2662))
+SUMPRODUCT(('Comp.'!$D$5:$D$402=$B186)*('Comp.'!$B$5:$B$402&gt;=H$4)*('Comp.'!$B$5:$B$402&lt;=EOMONTH(H$4,0))*('Comp.'!$E$5:$E$402))</f>
        <v>0</v>
      </c>
      <c r="I186" s="11">
        <f>SUMPRODUCT((Diário!$E$4:$E$2662='Analítico Cp.'!$B186)*(Diário!$C$4:$C$2662&gt;=I$4)*(Diário!$C$4:$C$2662&lt;=EOMONTH(I$4,0))*(Diário!$F$4:$F$2662))
+SUMPRODUCT(('Comp.'!$D$5:$D$402=$B186)*('Comp.'!$B$5:$B$402&gt;=I$4)*('Comp.'!$B$5:$B$402&lt;=EOMONTH(I$4,0))*('Comp.'!$E$5:$E$402))</f>
        <v>0</v>
      </c>
      <c r="J186" s="11">
        <f>SUMPRODUCT((Diário!$E$4:$E$2662='Analítico Cp.'!$B186)*(Diário!$C$4:$C$2662&gt;=J$4)*(Diário!$C$4:$C$2662&lt;=EOMONTH(J$4,0))*(Diário!$F$4:$F$2662))
+SUMPRODUCT(('Comp.'!$D$5:$D$402=$B186)*('Comp.'!$B$5:$B$402&gt;=J$4)*('Comp.'!$B$5:$B$402&lt;=EOMONTH(J$4,0))*('Comp.'!$E$5:$E$402))</f>
        <v>0</v>
      </c>
      <c r="K186" s="11">
        <f>SUMPRODUCT((Diário!$E$4:$E$2662='Analítico Cp.'!$B186)*(Diário!$C$4:$C$2662&gt;=K$4)*(Diário!$C$4:$C$2662&lt;=EOMONTH(K$4,0))*(Diário!$F$4:$F$2662))
+SUMPRODUCT(('Comp.'!$D$5:$D$402=$B186)*('Comp.'!$B$5:$B$402&gt;=K$4)*('Comp.'!$B$5:$B$402&lt;=EOMONTH(K$4,0))*('Comp.'!$E$5:$E$402))</f>
        <v>0</v>
      </c>
      <c r="L186" s="11">
        <f>SUMPRODUCT((Diário!$E$4:$E$2662='Analítico Cp.'!$B186)*(Diário!$C$4:$C$2662&gt;=L$4)*(Diário!$C$4:$C$2662&lt;=EOMONTH(L$4,0))*(Diário!$F$4:$F$2662))
+SUMPRODUCT(('Comp.'!$D$5:$D$402=$B186)*('Comp.'!$B$5:$B$402&gt;=L$4)*('Comp.'!$B$5:$B$402&lt;=EOMONTH(L$4,0))*('Comp.'!$E$5:$E$402))</f>
        <v>0</v>
      </c>
      <c r="M186" s="11">
        <f>SUMPRODUCT((Diário!$E$4:$E$2662='Analítico Cp.'!$B186)*(Diário!$C$4:$C$2662&gt;=M$4)*(Diário!$C$4:$C$2662&lt;=EOMONTH(M$4,0))*(Diário!$F$4:$F$2662))
+SUMPRODUCT(('Comp.'!$D$5:$D$402=$B186)*('Comp.'!$B$5:$B$402&gt;=M$4)*('Comp.'!$B$5:$B$402&lt;=EOMONTH(M$4,0))*('Comp.'!$E$5:$E$402))</f>
        <v>0</v>
      </c>
      <c r="N186" s="11">
        <f>SUMPRODUCT((Diário!$E$4:$E$2662='Analítico Cp.'!$B186)*(Diário!$C$4:$C$2662&gt;=N$4)*(Diário!$C$4:$C$2662&lt;=EOMONTH(N$4,0))*(Diário!$F$4:$F$2662))
+SUMPRODUCT(('Comp.'!$D$5:$D$402=$B186)*('Comp.'!$B$5:$B$402&gt;=N$4)*('Comp.'!$B$5:$B$402&lt;=EOMONTH(N$4,0))*('Comp.'!$E$5:$E$402))</f>
        <v>0</v>
      </c>
      <c r="O186" s="12">
        <f t="shared" si="19"/>
        <v>0</v>
      </c>
      <c r="P186" s="95">
        <f t="shared" si="20"/>
        <v>0</v>
      </c>
    </row>
    <row r="187" spans="1:16" ht="23.25" customHeight="1" thickBot="1">
      <c r="A187" s="231"/>
      <c r="B187" s="232" t="s">
        <v>348</v>
      </c>
      <c r="C187" s="249">
        <f>SUBTOTAL(109,C173:C186)</f>
        <v>2188</v>
      </c>
      <c r="D187" s="249">
        <f>SUBTOTAL(109,D173:D186)</f>
        <v>5280.8</v>
      </c>
      <c r="E187" s="249">
        <f>SUBTOTAL(109,E173:E186)</f>
        <v>22167</v>
      </c>
      <c r="F187" s="249">
        <f t="shared" ref="F187:N187" si="22">SUBTOTAL(109,F173:F186)</f>
        <v>2400.35</v>
      </c>
      <c r="G187" s="249">
        <f t="shared" si="22"/>
        <v>47837.509999999995</v>
      </c>
      <c r="H187" s="249">
        <f t="shared" si="22"/>
        <v>7558</v>
      </c>
      <c r="I187" s="249">
        <f t="shared" si="22"/>
        <v>0</v>
      </c>
      <c r="J187" s="249">
        <f t="shared" si="22"/>
        <v>0</v>
      </c>
      <c r="K187" s="249">
        <f t="shared" si="22"/>
        <v>0</v>
      </c>
      <c r="L187" s="249">
        <f t="shared" si="22"/>
        <v>0</v>
      </c>
      <c r="M187" s="249">
        <f t="shared" si="22"/>
        <v>0</v>
      </c>
      <c r="N187" s="249">
        <f t="shared" si="22"/>
        <v>0</v>
      </c>
      <c r="O187" s="249">
        <f>SUBTOTAL(109,O173:O186)</f>
        <v>87431.66</v>
      </c>
      <c r="P187" s="233">
        <f t="shared" si="20"/>
        <v>4.3786523100500961E-3</v>
      </c>
    </row>
    <row r="188" spans="1:16" ht="23.25" customHeight="1" thickBot="1">
      <c r="A188" s="227" t="s">
        <v>285</v>
      </c>
      <c r="B188" s="212" t="s">
        <v>360</v>
      </c>
      <c r="C188" s="243">
        <f>SUMPRODUCT((Diário!$E$4:$E$2662='Analítico Cp.'!$B188)*(Diário!$C$4:$C$2662&gt;=C$4)*(Diário!$C$4:$C$2662&lt;=EOMONTH(C$4,0))*(Diário!$F$4:$F$2662))
+SUMPRODUCT(('Comp.'!$D$5:$D$402=$B188)*('Comp.'!$B$5:$B$402&gt;=C$4)*('Comp.'!$B$5:$B$402&lt;=EOMONTH(C$4,0))*('Comp.'!$E$5:$E$402))</f>
        <v>13248.15</v>
      </c>
      <c r="D188" s="243">
        <f>SUMPRODUCT((Diário!$E$4:$E$2662='Analítico Cp.'!$B188)*(Diário!$C$4:$C$2662&gt;=D$4)*(Diário!$C$4:$C$2662&lt;=EOMONTH(D$4,0))*(Diário!$F$4:$F$2662))
+SUMPRODUCT(('Comp.'!$D$5:$D$402=$B188)*('Comp.'!$B$5:$B$402&gt;=D$4)*('Comp.'!$B$5:$B$402&lt;=EOMONTH(D$4,0))*('Comp.'!$E$5:$E$402))</f>
        <v>9290.24</v>
      </c>
      <c r="E188" s="243">
        <f>SUMPRODUCT((Diário!$E$4:$E$2662='Analítico Cp.'!$B188)*(Diário!$C$4:$C$2662&gt;=E$4)*(Diário!$C$4:$C$2662&lt;=EOMONTH(E$4,0))*(Diário!$F$4:$F$2662))
+SUMPRODUCT(('Comp.'!$D$5:$D$402=$B188)*('Comp.'!$B$5:$B$402&gt;=E$4)*('Comp.'!$B$5:$B$402&lt;=EOMONTH(E$4,0))*('Comp.'!$E$5:$E$402))</f>
        <v>12329.35</v>
      </c>
      <c r="F188" s="243">
        <f>SUMPRODUCT((Diário!$E$4:$E$2662='Analítico Cp.'!$B188)*(Diário!$C$4:$C$2662&gt;=F$4)*(Diário!$C$4:$C$2662&lt;=EOMONTH(F$4,0))*(Diário!$F$4:$F$2662))
+SUMPRODUCT(('Comp.'!$D$5:$D$402=$B188)*('Comp.'!$B$5:$B$402&gt;=F$4)*('Comp.'!$B$5:$B$402&lt;=EOMONTH(F$4,0))*('Comp.'!$E$5:$E$402))</f>
        <v>9031.83</v>
      </c>
      <c r="G188" s="243">
        <f>SUMPRODUCT((Diário!$E$4:$E$2662='Analítico Cp.'!$B188)*(Diário!$C$4:$C$2662&gt;=G$4)*(Diário!$C$4:$C$2662&lt;=EOMONTH(G$4,0))*(Diário!$F$4:$F$2662))
+SUMPRODUCT(('Comp.'!$D$5:$D$402=$B188)*('Comp.'!$B$5:$B$402&gt;=G$4)*('Comp.'!$B$5:$B$402&lt;=EOMONTH(G$4,0))*('Comp.'!$E$5:$E$402))</f>
        <v>0</v>
      </c>
      <c r="H188" s="243">
        <f>SUMPRODUCT((Diário!$E$4:$E$2662='Analítico Cp.'!$B188)*(Diário!$C$4:$C$2662&gt;=H$4)*(Diário!$C$4:$C$2662&lt;=EOMONTH(H$4,0))*(Diário!$F$4:$F$2662))
+SUMPRODUCT(('Comp.'!$D$5:$D$402=$B188)*('Comp.'!$B$5:$B$402&gt;=H$4)*('Comp.'!$B$5:$B$402&lt;=EOMONTH(H$4,0))*('Comp.'!$E$5:$E$402))</f>
        <v>25779</v>
      </c>
      <c r="I188" s="243">
        <f>SUMPRODUCT((Diário!$E$4:$E$2662='Analítico Cp.'!$B188)*(Diário!$C$4:$C$2662&gt;=I$4)*(Diário!$C$4:$C$2662&lt;=EOMONTH(I$4,0))*(Diário!$F$4:$F$2662))
+SUMPRODUCT(('Comp.'!$D$5:$D$402=$B188)*('Comp.'!$B$5:$B$402&gt;=I$4)*('Comp.'!$B$5:$B$402&lt;=EOMONTH(I$4,0))*('Comp.'!$E$5:$E$402))</f>
        <v>0</v>
      </c>
      <c r="J188" s="243">
        <f>SUMPRODUCT((Diário!$E$4:$E$2662='Analítico Cp.'!$B188)*(Diário!$C$4:$C$2662&gt;=J$4)*(Diário!$C$4:$C$2662&lt;=EOMONTH(J$4,0))*(Diário!$F$4:$F$2662))
+SUMPRODUCT(('Comp.'!$D$5:$D$402=$B188)*('Comp.'!$B$5:$B$402&gt;=J$4)*('Comp.'!$B$5:$B$402&lt;=EOMONTH(J$4,0))*('Comp.'!$E$5:$E$402))</f>
        <v>0</v>
      </c>
      <c r="K188" s="243">
        <f>SUMPRODUCT((Diário!$E$4:$E$2662='Analítico Cp.'!$B188)*(Diário!$C$4:$C$2662&gt;=K$4)*(Diário!$C$4:$C$2662&lt;=EOMONTH(K$4,0))*(Diário!$F$4:$F$2662))
+SUMPRODUCT(('Comp.'!$D$5:$D$402=$B188)*('Comp.'!$B$5:$B$402&gt;=K$4)*('Comp.'!$B$5:$B$402&lt;=EOMONTH(K$4,0))*('Comp.'!$E$5:$E$402))</f>
        <v>0</v>
      </c>
      <c r="L188" s="243">
        <f>SUMPRODUCT((Diário!$E$4:$E$2662='Analítico Cp.'!$B188)*(Diário!$C$4:$C$2662&gt;=L$4)*(Diário!$C$4:$C$2662&lt;=EOMONTH(L$4,0))*(Diário!$F$4:$F$2662))
+SUMPRODUCT(('Comp.'!$D$5:$D$402=$B188)*('Comp.'!$B$5:$B$402&gt;=L$4)*('Comp.'!$B$5:$B$402&lt;=EOMONTH(L$4,0))*('Comp.'!$E$5:$E$402))</f>
        <v>0</v>
      </c>
      <c r="M188" s="243">
        <f>SUMPRODUCT((Diário!$E$4:$E$2662='Analítico Cp.'!$B188)*(Diário!$C$4:$C$2662&gt;=M$4)*(Diário!$C$4:$C$2662&lt;=EOMONTH(M$4,0))*(Diário!$F$4:$F$2662))
+SUMPRODUCT(('Comp.'!$D$5:$D$402=$B188)*('Comp.'!$B$5:$B$402&gt;=M$4)*('Comp.'!$B$5:$B$402&lt;=EOMONTH(M$4,0))*('Comp.'!$E$5:$E$402))</f>
        <v>0</v>
      </c>
      <c r="N188" s="243">
        <f>SUMPRODUCT((Diário!$E$4:$E$2662='Analítico Cp.'!$B188)*(Diário!$C$4:$C$2662&gt;=N$4)*(Diário!$C$4:$C$2662&lt;=EOMONTH(N$4,0))*(Diário!$F$4:$F$2662))
+SUMPRODUCT(('Comp.'!$D$5:$D$402=$B188)*('Comp.'!$B$5:$B$402&gt;=N$4)*('Comp.'!$B$5:$B$402&lt;=EOMONTH(N$4,0))*('Comp.'!$E$5:$E$402))</f>
        <v>0</v>
      </c>
      <c r="O188" s="244">
        <f t="shared" si="19"/>
        <v>69678.570000000007</v>
      </c>
      <c r="P188" s="226">
        <f t="shared" si="20"/>
        <v>3.4895623792512609E-3</v>
      </c>
    </row>
    <row r="189" spans="1:16" ht="23.25" customHeight="1" thickBot="1">
      <c r="A189" s="213" t="s">
        <v>241</v>
      </c>
      <c r="B189" s="214"/>
      <c r="C189" s="250">
        <f>SUBTOTAL(109,C18:C187)</f>
        <v>2960679.7499999991</v>
      </c>
      <c r="D189" s="250">
        <f>SUBTOTAL(109,D18:D187)</f>
        <v>3036767.4199999995</v>
      </c>
      <c r="E189" s="250">
        <f>SUBTOTAL(109,E18:E187)</f>
        <v>1760173.42</v>
      </c>
      <c r="F189" s="250">
        <f t="shared" ref="F189:N189" si="23">SUBTOTAL(109,F18:F187)</f>
        <v>4283743.6100000003</v>
      </c>
      <c r="G189" s="250">
        <f t="shared" si="23"/>
        <v>3653837.4801000007</v>
      </c>
      <c r="H189" s="250">
        <f t="shared" si="23"/>
        <v>3962834.79</v>
      </c>
      <c r="I189" s="250">
        <f t="shared" si="23"/>
        <v>239995.07</v>
      </c>
      <c r="J189" s="250">
        <f t="shared" si="23"/>
        <v>0</v>
      </c>
      <c r="K189" s="250">
        <f t="shared" si="23"/>
        <v>0</v>
      </c>
      <c r="L189" s="250">
        <f t="shared" si="23"/>
        <v>0</v>
      </c>
      <c r="M189" s="250">
        <f t="shared" si="23"/>
        <v>0</v>
      </c>
      <c r="N189" s="250">
        <f t="shared" si="23"/>
        <v>0</v>
      </c>
      <c r="O189" s="250">
        <f>SUBTOTAL(109,O18:O188)</f>
        <v>19967710.110099997</v>
      </c>
      <c r="P189" s="230">
        <f t="shared" si="20"/>
        <v>1</v>
      </c>
    </row>
  </sheetData>
  <sheetProtection algorithmName="SHA-512" hashValue="D73e5zSk14GBFMKaCtlyn65lZFCiMkyGdlYfouE3pl2mrDaEnMEnMUQJ4INq7dfcDYRRY1HbgZmMyth7+x7O4Q==" saltValue="IIMy0DOIJSAsMPOWG6lY+A==" spinCount="100000" sheet="1" formatColumns="0"/>
  <dataConsolidate/>
  <mergeCells count="3">
    <mergeCell ref="A1:P1"/>
    <mergeCell ref="A2:P2"/>
    <mergeCell ref="A3:P3"/>
  </mergeCells>
  <phoneticPr fontId="32" type="noConversion"/>
  <printOptions horizontalCentered="1"/>
  <pageMargins left="0.19685039370078741" right="0.19685039370078741" top="0.59055118110236227" bottom="0.59055118110236227" header="0" footer="0"/>
  <pageSetup paperSize="9" scale="77" fitToHeight="0" pageOrder="overThenDown" orientation="portrait" r:id="rId1"/>
  <headerFooter>
    <oddFoote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6">
    <tabColor theme="2" tint="-0.749992370372631"/>
    <pageSetUpPr fitToPage="1"/>
  </sheetPr>
  <dimension ref="A1:U40"/>
  <sheetViews>
    <sheetView showGridLines="0" workbookViewId="0">
      <selection activeCell="H36" sqref="H36"/>
    </sheetView>
  </sheetViews>
  <sheetFormatPr defaultColWidth="9.140625" defaultRowHeight="12.75"/>
  <cols>
    <col min="1" max="1" width="6.42578125" style="27" customWidth="1"/>
    <col min="2" max="2" width="42.140625" style="28" customWidth="1"/>
    <col min="3" max="3" width="13.5703125" style="28" customWidth="1"/>
    <col min="4" max="4" width="14" style="28" customWidth="1"/>
    <col min="5" max="5" width="13.7109375" style="28" customWidth="1"/>
    <col min="6" max="8" width="13.28515625" style="28" customWidth="1"/>
    <col min="9" max="9" width="13.7109375" style="28" hidden="1" customWidth="1"/>
    <col min="10" max="10" width="14.28515625" style="28" hidden="1" customWidth="1"/>
    <col min="11" max="11" width="14.7109375" style="28" hidden="1" customWidth="1"/>
    <col min="12" max="13" width="14" style="28" hidden="1" customWidth="1"/>
    <col min="14" max="14" width="14.5703125" style="28" hidden="1" customWidth="1"/>
    <col min="15" max="15" width="13.42578125" style="29" customWidth="1"/>
    <col min="16" max="16384" width="9.140625" style="1"/>
  </cols>
  <sheetData>
    <row r="1" spans="1:21" ht="32.25" customHeight="1">
      <c r="A1" s="541" t="str">
        <f>Capa!A70</f>
        <v xml:space="preserve">Contrato de Gestão nº06/2020 - Secretaria Estadual de Cultura e Instituto Cultural Filarmonica </v>
      </c>
      <c r="B1" s="541"/>
      <c r="C1" s="541"/>
      <c r="D1" s="541"/>
      <c r="E1" s="541"/>
      <c r="F1" s="541"/>
      <c r="G1" s="541"/>
      <c r="H1" s="541"/>
      <c r="I1" s="541"/>
      <c r="J1" s="541"/>
      <c r="K1" s="541"/>
      <c r="L1" s="541"/>
      <c r="M1" s="541"/>
      <c r="N1" s="541"/>
      <c r="O1" s="541"/>
      <c r="P1" s="30"/>
      <c r="Q1" s="30"/>
      <c r="R1" s="30"/>
      <c r="S1" s="30"/>
      <c r="T1" s="30"/>
      <c r="U1" s="30"/>
    </row>
    <row r="2" spans="1:21" ht="19.5" customHeight="1">
      <c r="A2" s="541" t="str">
        <f>Capa!A5</f>
        <v>24º Relatório Gerencial Financeiro</v>
      </c>
      <c r="B2" s="541"/>
      <c r="C2" s="541"/>
      <c r="D2" s="541"/>
      <c r="E2" s="541"/>
      <c r="F2" s="541"/>
      <c r="G2" s="541"/>
      <c r="H2" s="541"/>
      <c r="I2" s="541"/>
      <c r="J2" s="541"/>
      <c r="K2" s="541"/>
      <c r="L2" s="541"/>
      <c r="M2" s="541"/>
      <c r="N2" s="541"/>
      <c r="O2" s="541"/>
      <c r="P2" s="30"/>
      <c r="Q2" s="30"/>
      <c r="R2" s="30"/>
      <c r="S2" s="30"/>
      <c r="T2" s="30"/>
      <c r="U2" s="30"/>
    </row>
    <row r="3" spans="1:21" ht="19.5" customHeight="1" thickBot="1">
      <c r="A3" s="535" t="s">
        <v>302</v>
      </c>
      <c r="B3" s="535"/>
      <c r="C3" s="535"/>
      <c r="D3" s="535"/>
      <c r="E3" s="535"/>
      <c r="F3" s="535"/>
      <c r="G3" s="535"/>
      <c r="H3" s="535"/>
      <c r="I3" s="535"/>
      <c r="J3" s="535"/>
      <c r="K3" s="535"/>
      <c r="L3" s="535"/>
      <c r="M3" s="535"/>
      <c r="N3" s="535"/>
      <c r="O3" s="535"/>
      <c r="P3" s="31"/>
      <c r="Q3" s="31"/>
      <c r="R3" s="31"/>
      <c r="S3" s="31"/>
      <c r="T3" s="31"/>
      <c r="U3" s="31"/>
    </row>
    <row r="4" spans="1:21" ht="24.75" customHeight="1" thickBot="1">
      <c r="A4" s="256"/>
      <c r="B4" s="257"/>
      <c r="C4" s="312">
        <f>Resumo!C4</f>
        <v>46023</v>
      </c>
      <c r="D4" s="312">
        <f>Resumo!D4</f>
        <v>46054</v>
      </c>
      <c r="E4" s="312">
        <f>Resumo!E4</f>
        <v>46082</v>
      </c>
      <c r="F4" s="312">
        <f>Resumo!F4</f>
        <v>46113</v>
      </c>
      <c r="G4" s="312">
        <f>Resumo!G4</f>
        <v>46143</v>
      </c>
      <c r="H4" s="312">
        <f>Resumo!H4</f>
        <v>46174</v>
      </c>
      <c r="I4" s="312">
        <f>Resumo!I4</f>
        <v>46204</v>
      </c>
      <c r="J4" s="312">
        <f>Resumo!J4</f>
        <v>46235</v>
      </c>
      <c r="K4" s="312">
        <f>Resumo!K4</f>
        <v>46266</v>
      </c>
      <c r="L4" s="312">
        <f>Resumo!L4</f>
        <v>46296</v>
      </c>
      <c r="M4" s="312">
        <f>Resumo!M4</f>
        <v>46327</v>
      </c>
      <c r="N4" s="312">
        <f>Resumo!N4</f>
        <v>46357</v>
      </c>
      <c r="O4" s="258" t="s">
        <v>250</v>
      </c>
    </row>
    <row r="5" spans="1:21" ht="24.75" customHeight="1" thickBot="1">
      <c r="A5" s="264" t="s">
        <v>253</v>
      </c>
      <c r="B5" s="265"/>
      <c r="C5" s="266">
        <v>10819305.499999994</v>
      </c>
      <c r="D5" s="259">
        <f>C36</f>
        <v>10819305.499999994</v>
      </c>
      <c r="E5" s="259">
        <f>D36</f>
        <v>10819305.499999994</v>
      </c>
      <c r="F5" s="259">
        <f t="shared" ref="F5:N5" si="0">E36</f>
        <v>9307493.4299999941</v>
      </c>
      <c r="G5" s="259">
        <f t="shared" si="0"/>
        <v>9735568.3399999943</v>
      </c>
      <c r="H5" s="259">
        <f t="shared" si="0"/>
        <v>10003561.769999994</v>
      </c>
      <c r="I5" s="259">
        <f t="shared" si="0"/>
        <v>10190309.989999995</v>
      </c>
      <c r="J5" s="259">
        <f t="shared" si="0"/>
        <v>10190309.989999995</v>
      </c>
      <c r="K5" s="259">
        <f t="shared" si="0"/>
        <v>10190309.989999995</v>
      </c>
      <c r="L5" s="259">
        <f t="shared" si="0"/>
        <v>10190309.989999995</v>
      </c>
      <c r="M5" s="259">
        <f t="shared" si="0"/>
        <v>10190309.989999995</v>
      </c>
      <c r="N5" s="259">
        <f t="shared" si="0"/>
        <v>10190309.989999995</v>
      </c>
      <c r="O5" s="267"/>
    </row>
    <row r="6" spans="1:21" ht="21" customHeight="1">
      <c r="A6" s="85" t="s">
        <v>251</v>
      </c>
      <c r="B6" s="85"/>
      <c r="C6" s="23"/>
      <c r="D6" s="23"/>
      <c r="E6" s="23"/>
      <c r="F6" s="23"/>
      <c r="G6" s="23"/>
      <c r="H6" s="23"/>
      <c r="I6" s="23"/>
      <c r="J6" s="23"/>
      <c r="K6" s="23"/>
      <c r="L6" s="23"/>
      <c r="M6" s="23"/>
      <c r="N6" s="23"/>
      <c r="O6" s="23"/>
    </row>
    <row r="7" spans="1:21" ht="13.5" customHeight="1">
      <c r="A7" s="82" t="s">
        <v>96</v>
      </c>
      <c r="B7" s="83" t="s">
        <v>234</v>
      </c>
      <c r="C7" s="84">
        <f>C27</f>
        <v>455545.02</v>
      </c>
      <c r="D7" s="84">
        <f t="shared" ref="D7" si="1">D27</f>
        <v>553647.12</v>
      </c>
      <c r="E7" s="84">
        <f>E27-522246.48</f>
        <v>-70906.919999999984</v>
      </c>
      <c r="F7" s="84">
        <f>21651.93+F27</f>
        <v>477658.50999999995</v>
      </c>
      <c r="G7" s="84">
        <f>46891.31+G27</f>
        <v>506683.32</v>
      </c>
      <c r="H7" s="84">
        <f>-50728.25+H27</f>
        <v>404386.55999999994</v>
      </c>
      <c r="I7" s="84"/>
      <c r="J7" s="84"/>
      <c r="K7" s="84"/>
      <c r="L7" s="84"/>
      <c r="M7" s="84"/>
      <c r="N7" s="84"/>
      <c r="O7" s="91">
        <f>SUM(C7:N7)</f>
        <v>2327013.61</v>
      </c>
    </row>
    <row r="8" spans="1:21" ht="13.5" customHeight="1">
      <c r="A8" s="82" t="s">
        <v>158</v>
      </c>
      <c r="B8" s="83" t="s">
        <v>245</v>
      </c>
      <c r="C8" s="84">
        <f t="shared" ref="C8:D8" si="2">C28</f>
        <v>12918.88</v>
      </c>
      <c r="D8" s="84">
        <f t="shared" si="2"/>
        <v>16366.24</v>
      </c>
      <c r="E8" s="84">
        <f>E28</f>
        <v>13066.21</v>
      </c>
      <c r="F8" s="84">
        <f>F28</f>
        <v>13168.69</v>
      </c>
      <c r="G8" s="84">
        <f>G28</f>
        <v>13355</v>
      </c>
      <c r="H8" s="84">
        <f>H28</f>
        <v>13204.41</v>
      </c>
      <c r="I8" s="84"/>
      <c r="J8" s="84"/>
      <c r="K8" s="84"/>
      <c r="L8" s="84"/>
      <c r="M8" s="84"/>
      <c r="N8" s="84"/>
      <c r="O8" s="91">
        <f t="shared" ref="O8:O15" si="3">SUM(C8:N8)</f>
        <v>82079.430000000008</v>
      </c>
    </row>
    <row r="9" spans="1:21" ht="13.5" customHeight="1">
      <c r="A9" s="82" t="s">
        <v>222</v>
      </c>
      <c r="B9" s="83" t="s">
        <v>4</v>
      </c>
      <c r="C9" s="84">
        <f t="shared" ref="C9:D9" si="4">C29</f>
        <v>161432.66999999998</v>
      </c>
      <c r="D9" s="84">
        <f t="shared" si="4"/>
        <v>134409.06</v>
      </c>
      <c r="E9" s="84">
        <f>E29+185763.31</f>
        <v>297609.65999999997</v>
      </c>
      <c r="F9" s="84">
        <f>-23874.74+F29</f>
        <v>88026.58</v>
      </c>
      <c r="G9" s="84">
        <f>19015.65+G29</f>
        <v>130005.57</v>
      </c>
      <c r="H9" s="84">
        <f>-20464.65+H29</f>
        <v>97593.15</v>
      </c>
      <c r="I9" s="84"/>
      <c r="J9" s="84"/>
      <c r="K9" s="84"/>
      <c r="L9" s="84"/>
      <c r="M9" s="84"/>
      <c r="N9" s="84"/>
      <c r="O9" s="91">
        <f t="shared" si="3"/>
        <v>909076.68999999983</v>
      </c>
    </row>
    <row r="10" spans="1:21" ht="13.5" customHeight="1">
      <c r="A10" s="82" t="s">
        <v>223</v>
      </c>
      <c r="B10" s="83" t="s">
        <v>10</v>
      </c>
      <c r="C10" s="84">
        <f t="shared" ref="C10:D10" si="5">C30</f>
        <v>199316.41</v>
      </c>
      <c r="D10" s="84">
        <f t="shared" si="5"/>
        <v>0</v>
      </c>
      <c r="E10" s="84">
        <f>E30-362305.81</f>
        <v>-362305.81</v>
      </c>
      <c r="F10" s="84">
        <f>259822.86+F30</f>
        <v>415942.28</v>
      </c>
      <c r="G10" s="84">
        <f>38454.73+G30</f>
        <v>38476.550000000003</v>
      </c>
      <c r="H10" s="84">
        <f>31629.88+H30</f>
        <v>156781.38</v>
      </c>
      <c r="I10" s="84"/>
      <c r="J10" s="84"/>
      <c r="K10" s="84"/>
      <c r="L10" s="84"/>
      <c r="M10" s="84"/>
      <c r="N10" s="84"/>
      <c r="O10" s="91">
        <f>SUM(C10:N10)</f>
        <v>448210.81000000006</v>
      </c>
    </row>
    <row r="11" spans="1:21" ht="13.5" customHeight="1">
      <c r="A11" s="82" t="s">
        <v>224</v>
      </c>
      <c r="B11" s="83" t="s">
        <v>246</v>
      </c>
      <c r="C11" s="84">
        <f t="shared" ref="C11:D11" si="6">C31</f>
        <v>478061.58</v>
      </c>
      <c r="D11" s="84">
        <f t="shared" si="6"/>
        <v>0</v>
      </c>
      <c r="E11" s="84">
        <f>E31+539072.11</f>
        <v>539072.11</v>
      </c>
      <c r="F11" s="84">
        <f>97758.85</f>
        <v>97758.85</v>
      </c>
      <c r="G11" s="84">
        <v>100858.53</v>
      </c>
      <c r="H11" s="84">
        <v>88364.21</v>
      </c>
      <c r="I11" s="84"/>
      <c r="J11" s="84"/>
      <c r="K11" s="84"/>
      <c r="L11" s="84"/>
      <c r="M11" s="84"/>
      <c r="N11" s="84"/>
      <c r="O11" s="91">
        <f>SUM(C11:N11)</f>
        <v>1304115.28</v>
      </c>
    </row>
    <row r="12" spans="1:21" ht="13.5" customHeight="1">
      <c r="A12" s="82" t="s">
        <v>225</v>
      </c>
      <c r="B12" s="83" t="s">
        <v>261</v>
      </c>
      <c r="C12" s="84">
        <f t="shared" ref="C12:D12" si="7">C32</f>
        <v>2653.25</v>
      </c>
      <c r="D12" s="84">
        <f t="shared" si="7"/>
        <v>18431</v>
      </c>
      <c r="E12" s="84">
        <f>E32-1109908.75</f>
        <v>-1098191.05</v>
      </c>
      <c r="F12" s="84">
        <f>88871.95+F32</f>
        <v>103429.51999999999</v>
      </c>
      <c r="G12" s="84">
        <f>93259.87+G32</f>
        <v>112088.95</v>
      </c>
      <c r="H12" s="84">
        <f>-12522.42+H32+118860.03</f>
        <v>144661.37</v>
      </c>
      <c r="I12" s="84"/>
      <c r="J12" s="84"/>
      <c r="K12" s="84"/>
      <c r="L12" s="84"/>
      <c r="M12" s="84"/>
      <c r="N12" s="84"/>
      <c r="O12" s="91">
        <f t="shared" si="3"/>
        <v>-716926.96000000008</v>
      </c>
    </row>
    <row r="13" spans="1:21">
      <c r="A13" s="82" t="s">
        <v>226</v>
      </c>
      <c r="B13" s="83" t="s">
        <v>247</v>
      </c>
      <c r="C13" s="84">
        <f t="shared" ref="C13:E13" si="8">C33</f>
        <v>0</v>
      </c>
      <c r="D13" s="84">
        <f t="shared" si="8"/>
        <v>0</v>
      </c>
      <c r="E13" s="84">
        <f t="shared" si="8"/>
        <v>0</v>
      </c>
      <c r="F13" s="84"/>
      <c r="G13" s="84"/>
      <c r="H13" s="84"/>
      <c r="I13" s="84"/>
      <c r="J13" s="84"/>
      <c r="K13" s="84"/>
      <c r="L13" s="84"/>
      <c r="M13" s="84"/>
      <c r="N13" s="84"/>
      <c r="O13" s="91">
        <f t="shared" si="3"/>
        <v>0</v>
      </c>
    </row>
    <row r="14" spans="1:21" ht="24">
      <c r="A14" s="82" t="s">
        <v>227</v>
      </c>
      <c r="B14" s="83" t="s">
        <v>159</v>
      </c>
      <c r="C14" s="84">
        <f t="shared" ref="C14:D14" si="9">C34</f>
        <v>160281.86000000002</v>
      </c>
      <c r="D14" s="84">
        <f t="shared" si="9"/>
        <v>0</v>
      </c>
      <c r="E14" s="84">
        <f>E34-242186.45</f>
        <v>-235315.45</v>
      </c>
      <c r="F14" s="84">
        <f>-16155.94+F34</f>
        <v>95436.829999999987</v>
      </c>
      <c r="G14" s="84">
        <f>-30486.66+G34</f>
        <v>-28477.75</v>
      </c>
      <c r="H14" s="84">
        <f>31609.42+H34</f>
        <v>161574.83000000002</v>
      </c>
      <c r="I14" s="84"/>
      <c r="J14" s="84"/>
      <c r="K14" s="84"/>
      <c r="L14" s="84"/>
      <c r="M14" s="84"/>
      <c r="N14" s="84"/>
      <c r="O14" s="91">
        <f t="shared" si="3"/>
        <v>153500.32</v>
      </c>
    </row>
    <row r="15" spans="1:21" ht="24.75" customHeight="1" thickBot="1">
      <c r="A15" s="261" t="s">
        <v>252</v>
      </c>
      <c r="B15" s="262"/>
      <c r="C15" s="263">
        <f>SUBTOTAL(109,C7:C14)</f>
        <v>1470209.6700000002</v>
      </c>
      <c r="D15" s="263">
        <f>SUBTOTAL(109,D7:D14)</f>
        <v>722853.41999999993</v>
      </c>
      <c r="E15" s="263">
        <f>SUBTOTAL(109,E7:E14)</f>
        <v>-916971.25</v>
      </c>
      <c r="F15" s="263">
        <f t="shared" ref="F15:N15" si="10">SUBTOTAL(109,F7:F14)</f>
        <v>1291421.26</v>
      </c>
      <c r="G15" s="263">
        <f t="shared" si="10"/>
        <v>872990.17</v>
      </c>
      <c r="H15" s="263">
        <f t="shared" si="10"/>
        <v>1066565.9099999999</v>
      </c>
      <c r="I15" s="263">
        <f t="shared" si="10"/>
        <v>0</v>
      </c>
      <c r="J15" s="263">
        <f t="shared" si="10"/>
        <v>0</v>
      </c>
      <c r="K15" s="263">
        <f t="shared" si="10"/>
        <v>0</v>
      </c>
      <c r="L15" s="263">
        <f t="shared" si="10"/>
        <v>0</v>
      </c>
      <c r="M15" s="263">
        <f t="shared" si="10"/>
        <v>0</v>
      </c>
      <c r="N15" s="263">
        <f t="shared" si="10"/>
        <v>0</v>
      </c>
      <c r="O15" s="263">
        <f t="shared" si="3"/>
        <v>4507069.18</v>
      </c>
    </row>
    <row r="16" spans="1:21" ht="21" customHeight="1">
      <c r="A16" s="549" t="s">
        <v>274</v>
      </c>
      <c r="B16" s="549"/>
      <c r="C16" s="86"/>
      <c r="D16" s="83"/>
      <c r="E16" s="83"/>
      <c r="F16" s="83"/>
      <c r="G16" s="83"/>
      <c r="H16" s="83"/>
      <c r="I16" s="83"/>
      <c r="J16" s="83"/>
      <c r="K16" s="83"/>
      <c r="L16" s="83"/>
      <c r="M16" s="83"/>
      <c r="N16" s="83"/>
      <c r="O16" s="91"/>
    </row>
    <row r="17" spans="1:15" ht="13.5" customHeight="1">
      <c r="A17" s="82" t="s">
        <v>96</v>
      </c>
      <c r="B17" s="83" t="s">
        <v>234</v>
      </c>
      <c r="C17" s="84">
        <v>0</v>
      </c>
      <c r="D17" s="84">
        <v>0</v>
      </c>
      <c r="E17" s="84">
        <v>0</v>
      </c>
      <c r="F17" s="84">
        <v>0</v>
      </c>
      <c r="G17" s="84">
        <v>0</v>
      </c>
      <c r="H17" s="84">
        <v>0</v>
      </c>
      <c r="I17" s="84">
        <v>0</v>
      </c>
      <c r="J17" s="84">
        <v>0</v>
      </c>
      <c r="K17" s="84">
        <v>0</v>
      </c>
      <c r="L17" s="84">
        <v>0</v>
      </c>
      <c r="M17" s="84">
        <v>0</v>
      </c>
      <c r="N17" s="84">
        <v>0</v>
      </c>
      <c r="O17" s="91">
        <f>SUM(C17:N17)</f>
        <v>0</v>
      </c>
    </row>
    <row r="18" spans="1:15" ht="13.5" customHeight="1">
      <c r="A18" s="82" t="s">
        <v>158</v>
      </c>
      <c r="B18" s="83" t="s">
        <v>245</v>
      </c>
      <c r="C18" s="84">
        <v>0</v>
      </c>
      <c r="D18" s="84">
        <v>0</v>
      </c>
      <c r="E18" s="84">
        <v>0</v>
      </c>
      <c r="F18" s="84">
        <v>0</v>
      </c>
      <c r="G18" s="84">
        <v>0</v>
      </c>
      <c r="H18" s="84">
        <v>0</v>
      </c>
      <c r="I18" s="84">
        <v>0</v>
      </c>
      <c r="J18" s="84">
        <v>0</v>
      </c>
      <c r="K18" s="84">
        <v>0</v>
      </c>
      <c r="L18" s="84">
        <v>0</v>
      </c>
      <c r="M18" s="84">
        <v>0</v>
      </c>
      <c r="N18" s="84">
        <v>0</v>
      </c>
      <c r="O18" s="91">
        <f t="shared" ref="O18:O24" si="11">SUM(C18:N18)</f>
        <v>0</v>
      </c>
    </row>
    <row r="19" spans="1:15" ht="13.5" customHeight="1">
      <c r="A19" s="82" t="s">
        <v>222</v>
      </c>
      <c r="B19" s="83" t="s">
        <v>4</v>
      </c>
      <c r="C19" s="84">
        <v>0</v>
      </c>
      <c r="D19" s="84">
        <v>0</v>
      </c>
      <c r="E19" s="84">
        <v>0</v>
      </c>
      <c r="F19" s="84">
        <v>0</v>
      </c>
      <c r="G19" s="84">
        <v>0</v>
      </c>
      <c r="H19" s="84">
        <v>0</v>
      </c>
      <c r="I19" s="84">
        <v>0</v>
      </c>
      <c r="J19" s="84">
        <v>0</v>
      </c>
      <c r="K19" s="84">
        <v>0</v>
      </c>
      <c r="L19" s="84">
        <v>0</v>
      </c>
      <c r="M19" s="84">
        <v>0</v>
      </c>
      <c r="N19" s="84">
        <v>0</v>
      </c>
      <c r="O19" s="91">
        <f t="shared" si="11"/>
        <v>0</v>
      </c>
    </row>
    <row r="20" spans="1:15" ht="13.5" customHeight="1">
      <c r="A20" s="82" t="s">
        <v>223</v>
      </c>
      <c r="B20" s="83" t="s">
        <v>10</v>
      </c>
      <c r="C20" s="84">
        <v>0</v>
      </c>
      <c r="D20" s="84">
        <v>0</v>
      </c>
      <c r="E20" s="84">
        <v>0</v>
      </c>
      <c r="F20" s="84">
        <v>0</v>
      </c>
      <c r="G20" s="84">
        <v>0</v>
      </c>
      <c r="H20" s="84">
        <v>0</v>
      </c>
      <c r="I20" s="84">
        <v>0</v>
      </c>
      <c r="J20" s="84">
        <v>0</v>
      </c>
      <c r="K20" s="84">
        <v>0</v>
      </c>
      <c r="L20" s="84">
        <v>0</v>
      </c>
      <c r="M20" s="84">
        <v>0</v>
      </c>
      <c r="N20" s="84">
        <v>0</v>
      </c>
      <c r="O20" s="91">
        <f>SUM(C20:N20)</f>
        <v>0</v>
      </c>
    </row>
    <row r="21" spans="1:15" ht="13.5" customHeight="1">
      <c r="A21" s="82" t="s">
        <v>224</v>
      </c>
      <c r="B21" s="83" t="s">
        <v>246</v>
      </c>
      <c r="C21" s="84">
        <v>0</v>
      </c>
      <c r="D21" s="84">
        <v>0</v>
      </c>
      <c r="E21" s="84">
        <v>0</v>
      </c>
      <c r="F21" s="84">
        <v>0</v>
      </c>
      <c r="G21" s="84">
        <v>0</v>
      </c>
      <c r="H21" s="84">
        <v>0</v>
      </c>
      <c r="I21" s="84">
        <v>0</v>
      </c>
      <c r="J21" s="84">
        <v>0</v>
      </c>
      <c r="K21" s="84">
        <v>0</v>
      </c>
      <c r="L21" s="84">
        <v>0</v>
      </c>
      <c r="M21" s="84">
        <v>0</v>
      </c>
      <c r="N21" s="84">
        <v>0</v>
      </c>
      <c r="O21" s="91">
        <f>SUM(C21:N21)</f>
        <v>0</v>
      </c>
    </row>
    <row r="22" spans="1:15" ht="13.5" customHeight="1">
      <c r="A22" s="82" t="s">
        <v>225</v>
      </c>
      <c r="B22" s="83" t="s">
        <v>261</v>
      </c>
      <c r="C22" s="84">
        <v>0</v>
      </c>
      <c r="D22" s="84">
        <v>0</v>
      </c>
      <c r="E22" s="84">
        <v>0</v>
      </c>
      <c r="F22" s="84">
        <v>0</v>
      </c>
      <c r="G22" s="84">
        <v>0</v>
      </c>
      <c r="H22" s="84">
        <v>0</v>
      </c>
      <c r="I22" s="84">
        <v>0</v>
      </c>
      <c r="J22" s="84">
        <v>0</v>
      </c>
      <c r="K22" s="84">
        <v>0</v>
      </c>
      <c r="L22" s="84">
        <v>0</v>
      </c>
      <c r="M22" s="84">
        <v>0</v>
      </c>
      <c r="N22" s="84">
        <v>0</v>
      </c>
      <c r="O22" s="91">
        <f t="shared" si="11"/>
        <v>0</v>
      </c>
    </row>
    <row r="23" spans="1:15" ht="13.5" customHeight="1">
      <c r="A23" s="82" t="s">
        <v>226</v>
      </c>
      <c r="B23" s="83" t="s">
        <v>247</v>
      </c>
      <c r="C23" s="84">
        <v>0</v>
      </c>
      <c r="D23" s="84">
        <v>0</v>
      </c>
      <c r="E23" s="84">
        <v>0</v>
      </c>
      <c r="F23" s="84">
        <v>0</v>
      </c>
      <c r="G23" s="84">
        <v>0</v>
      </c>
      <c r="H23" s="84">
        <v>0</v>
      </c>
      <c r="I23" s="84">
        <v>0</v>
      </c>
      <c r="J23" s="84">
        <v>0</v>
      </c>
      <c r="K23" s="84">
        <v>0</v>
      </c>
      <c r="L23" s="84">
        <v>0</v>
      </c>
      <c r="M23" s="84">
        <v>0</v>
      </c>
      <c r="N23" s="84">
        <v>0</v>
      </c>
      <c r="O23" s="91">
        <f t="shared" si="11"/>
        <v>0</v>
      </c>
    </row>
    <row r="24" spans="1:15" ht="24">
      <c r="A24" s="82" t="s">
        <v>227</v>
      </c>
      <c r="B24" s="83" t="s">
        <v>159</v>
      </c>
      <c r="C24" s="84">
        <v>0</v>
      </c>
      <c r="D24" s="84">
        <v>0</v>
      </c>
      <c r="E24" s="84">
        <v>0</v>
      </c>
      <c r="F24" s="84">
        <v>0</v>
      </c>
      <c r="G24" s="84">
        <v>0</v>
      </c>
      <c r="H24" s="84">
        <v>0</v>
      </c>
      <c r="I24" s="84">
        <v>0</v>
      </c>
      <c r="J24" s="84">
        <v>0</v>
      </c>
      <c r="K24" s="84">
        <v>0</v>
      </c>
      <c r="L24" s="84">
        <v>0</v>
      </c>
      <c r="M24" s="84">
        <v>0</v>
      </c>
      <c r="N24" s="84">
        <v>0</v>
      </c>
      <c r="O24" s="91">
        <f t="shared" si="11"/>
        <v>0</v>
      </c>
    </row>
    <row r="25" spans="1:15" ht="24.75" customHeight="1" thickBot="1">
      <c r="A25" s="261" t="s">
        <v>275</v>
      </c>
      <c r="B25" s="262"/>
      <c r="C25" s="263">
        <f>SUBTOTAL(109,C17:C24)</f>
        <v>0</v>
      </c>
      <c r="D25" s="263">
        <f>SUBTOTAL(109,D17:D24)</f>
        <v>0</v>
      </c>
      <c r="E25" s="263">
        <f>SUBTOTAL(109,E17:E24)</f>
        <v>0</v>
      </c>
      <c r="F25" s="263">
        <f t="shared" ref="F25:N25" si="12">SUBTOTAL(109,F17:F24)</f>
        <v>0</v>
      </c>
      <c r="G25" s="263">
        <f t="shared" si="12"/>
        <v>0</v>
      </c>
      <c r="H25" s="263">
        <f t="shared" si="12"/>
        <v>0</v>
      </c>
      <c r="I25" s="263">
        <f t="shared" si="12"/>
        <v>0</v>
      </c>
      <c r="J25" s="263">
        <f t="shared" si="12"/>
        <v>0</v>
      </c>
      <c r="K25" s="263">
        <f t="shared" si="12"/>
        <v>0</v>
      </c>
      <c r="L25" s="263">
        <f t="shared" si="12"/>
        <v>0</v>
      </c>
      <c r="M25" s="263">
        <f t="shared" si="12"/>
        <v>0</v>
      </c>
      <c r="N25" s="263">
        <f t="shared" si="12"/>
        <v>0</v>
      </c>
      <c r="O25" s="263">
        <f>SUM(C25:N25)</f>
        <v>0</v>
      </c>
    </row>
    <row r="26" spans="1:15" ht="21" customHeight="1">
      <c r="A26" s="549" t="s">
        <v>272</v>
      </c>
      <c r="B26" s="549"/>
      <c r="C26" s="86"/>
      <c r="D26" s="83"/>
      <c r="E26" s="83"/>
      <c r="F26" s="83"/>
      <c r="G26" s="83"/>
      <c r="H26" s="83"/>
      <c r="I26" s="83"/>
      <c r="J26" s="83"/>
      <c r="K26" s="83"/>
      <c r="L26" s="83"/>
      <c r="M26" s="83"/>
      <c r="N26" s="83"/>
      <c r="O26" s="91"/>
    </row>
    <row r="27" spans="1:15" ht="13.5" customHeight="1">
      <c r="A27" s="82" t="s">
        <v>96</v>
      </c>
      <c r="B27" s="83" t="s">
        <v>234</v>
      </c>
      <c r="C27" s="91">
        <f>'Analítico Cx.'!C34</f>
        <v>455545.02</v>
      </c>
      <c r="D27" s="91">
        <f>'Analítico Cx.'!D34</f>
        <v>553647.12</v>
      </c>
      <c r="E27" s="91">
        <f>'Analítico Cx.'!E34</f>
        <v>451339.56</v>
      </c>
      <c r="F27" s="91">
        <f>'Analítico Cx.'!F34</f>
        <v>456006.57999999996</v>
      </c>
      <c r="G27" s="91">
        <f>'Analítico Cx.'!G34</f>
        <v>459792.01</v>
      </c>
      <c r="H27" s="91">
        <f>'Analítico Cx.'!H34</f>
        <v>455114.80999999994</v>
      </c>
      <c r="I27" s="91">
        <f>'Analítico Cx.'!I34</f>
        <v>0</v>
      </c>
      <c r="J27" s="91">
        <f>'Analítico Cx.'!J34</f>
        <v>0</v>
      </c>
      <c r="K27" s="91">
        <f>'Analítico Cx.'!K34</f>
        <v>0</v>
      </c>
      <c r="L27" s="91">
        <f>'Analítico Cx.'!L34</f>
        <v>0</v>
      </c>
      <c r="M27" s="91">
        <f>'Analítico Cx.'!M34</f>
        <v>0</v>
      </c>
      <c r="N27" s="91">
        <f>'Analítico Cx.'!N34</f>
        <v>0</v>
      </c>
      <c r="O27" s="91">
        <f t="shared" ref="O27:O35" si="13">SUM(C27:N27)</f>
        <v>2831445.1</v>
      </c>
    </row>
    <row r="28" spans="1:15" ht="13.5" customHeight="1">
      <c r="A28" s="82" t="s">
        <v>158</v>
      </c>
      <c r="B28" s="83" t="s">
        <v>245</v>
      </c>
      <c r="C28" s="91">
        <f>'Analítico Cx.'!C35</f>
        <v>12918.88</v>
      </c>
      <c r="D28" s="91">
        <f>'Analítico Cx.'!D35</f>
        <v>16366.24</v>
      </c>
      <c r="E28" s="91">
        <f>'Analítico Cx.'!E35</f>
        <v>13066.21</v>
      </c>
      <c r="F28" s="91">
        <f>'Analítico Cx.'!F35</f>
        <v>13168.69</v>
      </c>
      <c r="G28" s="91">
        <f>'Analítico Cx.'!G35</f>
        <v>13355</v>
      </c>
      <c r="H28" s="91">
        <f>'Analítico Cx.'!H35</f>
        <v>13204.41</v>
      </c>
      <c r="I28" s="91">
        <f>'Analítico Cx.'!I35</f>
        <v>0</v>
      </c>
      <c r="J28" s="91">
        <f>'Analítico Cx.'!J35</f>
        <v>0</v>
      </c>
      <c r="K28" s="91">
        <f>'Analítico Cx.'!K35</f>
        <v>0</v>
      </c>
      <c r="L28" s="91">
        <f>'Analítico Cx.'!L35</f>
        <v>0</v>
      </c>
      <c r="M28" s="91">
        <f>'Analítico Cx.'!M35</f>
        <v>0</v>
      </c>
      <c r="N28" s="91">
        <f>'Analítico Cx.'!N35</f>
        <v>0</v>
      </c>
      <c r="O28" s="91">
        <f t="shared" si="13"/>
        <v>82079.430000000008</v>
      </c>
    </row>
    <row r="29" spans="1:15" ht="13.5" customHeight="1">
      <c r="A29" s="82" t="s">
        <v>222</v>
      </c>
      <c r="B29" s="83" t="s">
        <v>4</v>
      </c>
      <c r="C29" s="91">
        <f>'Analítico Cx.'!C36</f>
        <v>161432.66999999998</v>
      </c>
      <c r="D29" s="91">
        <f>'Analítico Cx.'!D36</f>
        <v>134409.06</v>
      </c>
      <c r="E29" s="91">
        <f>'Analítico Cx.'!E36</f>
        <v>111846.34999999999</v>
      </c>
      <c r="F29" s="91">
        <f>'Analítico Cx.'!F36</f>
        <v>111901.32</v>
      </c>
      <c r="G29" s="91">
        <f>'Analítico Cx.'!G36</f>
        <v>110989.92</v>
      </c>
      <c r="H29" s="91">
        <f>'Analítico Cx.'!H36</f>
        <v>118057.79999999999</v>
      </c>
      <c r="I29" s="91">
        <f>'Analítico Cx.'!I36</f>
        <v>0</v>
      </c>
      <c r="J29" s="91">
        <f>'Analítico Cx.'!J36</f>
        <v>0</v>
      </c>
      <c r="K29" s="91">
        <f>'Analítico Cx.'!K36</f>
        <v>0</v>
      </c>
      <c r="L29" s="91">
        <f>'Analítico Cx.'!L36</f>
        <v>0</v>
      </c>
      <c r="M29" s="91">
        <f>'Analítico Cx.'!M36</f>
        <v>0</v>
      </c>
      <c r="N29" s="91">
        <f>'Analítico Cx.'!N36</f>
        <v>0</v>
      </c>
      <c r="O29" s="91">
        <f t="shared" si="13"/>
        <v>748637.11999999988</v>
      </c>
    </row>
    <row r="30" spans="1:15" ht="13.5" customHeight="1">
      <c r="A30" s="82" t="s">
        <v>223</v>
      </c>
      <c r="B30" s="83" t="s">
        <v>10</v>
      </c>
      <c r="C30" s="91">
        <f>'Analítico Cx.'!C37</f>
        <v>199316.41</v>
      </c>
      <c r="D30" s="91">
        <f>'Analítico Cx.'!D37</f>
        <v>0</v>
      </c>
      <c r="E30" s="91">
        <f>'Analítico Cx.'!E37</f>
        <v>0</v>
      </c>
      <c r="F30" s="91">
        <f>'Analítico Cx.'!F37</f>
        <v>156119.42000000001</v>
      </c>
      <c r="G30" s="91">
        <f>'Analítico Cx.'!G37</f>
        <v>21.82</v>
      </c>
      <c r="H30" s="91">
        <f>'Analítico Cx.'!H37</f>
        <v>125151.50000000001</v>
      </c>
      <c r="I30" s="91">
        <f>'Analítico Cx.'!I37</f>
        <v>0</v>
      </c>
      <c r="J30" s="91">
        <f>'Analítico Cx.'!J37</f>
        <v>0</v>
      </c>
      <c r="K30" s="91">
        <f>'Analítico Cx.'!K37</f>
        <v>0</v>
      </c>
      <c r="L30" s="91">
        <f>'Analítico Cx.'!L37</f>
        <v>0</v>
      </c>
      <c r="M30" s="91">
        <f>'Analítico Cx.'!M37</f>
        <v>0</v>
      </c>
      <c r="N30" s="91">
        <f>'Analítico Cx.'!N37</f>
        <v>0</v>
      </c>
      <c r="O30" s="91">
        <f t="shared" si="13"/>
        <v>480609.15</v>
      </c>
    </row>
    <row r="31" spans="1:15" ht="13.5" customHeight="1">
      <c r="A31" s="82" t="s">
        <v>224</v>
      </c>
      <c r="B31" s="83" t="s">
        <v>246</v>
      </c>
      <c r="C31" s="91">
        <f>'Analítico Cx.'!C38</f>
        <v>478061.58</v>
      </c>
      <c r="D31" s="91">
        <f>'Analítico Cx.'!D38</f>
        <v>0</v>
      </c>
      <c r="E31" s="91">
        <f>'Analítico Cx.'!E38</f>
        <v>0</v>
      </c>
      <c r="F31" s="91">
        <f>'Analítico Cx.'!F38</f>
        <v>0</v>
      </c>
      <c r="G31" s="91">
        <f>'Analítico Cx.'!G38</f>
        <v>0</v>
      </c>
      <c r="H31" s="91">
        <f>'Analítico Cx.'!H38</f>
        <v>0</v>
      </c>
      <c r="I31" s="91">
        <f>'Analítico Cx.'!I38</f>
        <v>0</v>
      </c>
      <c r="J31" s="91">
        <f>'Analítico Cx.'!J38</f>
        <v>0</v>
      </c>
      <c r="K31" s="91">
        <f>'Analítico Cx.'!K38</f>
        <v>0</v>
      </c>
      <c r="L31" s="91">
        <f>'Analítico Cx.'!L38</f>
        <v>0</v>
      </c>
      <c r="M31" s="91">
        <f>'Analítico Cx.'!M38</f>
        <v>0</v>
      </c>
      <c r="N31" s="91">
        <f>'Analítico Cx.'!N38</f>
        <v>0</v>
      </c>
      <c r="O31" s="91">
        <f t="shared" si="13"/>
        <v>478061.58</v>
      </c>
    </row>
    <row r="32" spans="1:15" ht="13.5" customHeight="1">
      <c r="A32" s="82" t="s">
        <v>225</v>
      </c>
      <c r="B32" s="83" t="s">
        <v>261</v>
      </c>
      <c r="C32" s="91">
        <f>'Analítico Cx.'!C39</f>
        <v>2653.25</v>
      </c>
      <c r="D32" s="91">
        <f>'Analítico Cx.'!D39</f>
        <v>18431</v>
      </c>
      <c r="E32" s="91">
        <f>'Analítico Cx.'!E39</f>
        <v>11717.699999999999</v>
      </c>
      <c r="F32" s="91">
        <f>'Analítico Cx.'!F39</f>
        <v>14557.57</v>
      </c>
      <c r="G32" s="91">
        <f>'Analítico Cx.'!G39</f>
        <v>18829.080000000002</v>
      </c>
      <c r="H32" s="91">
        <f>'Analítico Cx.'!H39</f>
        <v>38323.759999999995</v>
      </c>
      <c r="I32" s="91">
        <f>'Analítico Cx.'!I39</f>
        <v>0</v>
      </c>
      <c r="J32" s="91">
        <f>'Analítico Cx.'!J39</f>
        <v>0</v>
      </c>
      <c r="K32" s="91">
        <f>'Analítico Cx.'!K39</f>
        <v>0</v>
      </c>
      <c r="L32" s="91">
        <f>'Analítico Cx.'!L39</f>
        <v>0</v>
      </c>
      <c r="M32" s="91">
        <f>'Analítico Cx.'!M39</f>
        <v>0</v>
      </c>
      <c r="N32" s="91">
        <f>'Analítico Cx.'!N39</f>
        <v>0</v>
      </c>
      <c r="O32" s="91">
        <f t="shared" si="13"/>
        <v>104512.36</v>
      </c>
    </row>
    <row r="33" spans="1:15" ht="13.5" customHeight="1">
      <c r="A33" s="82" t="s">
        <v>226</v>
      </c>
      <c r="B33" s="83" t="s">
        <v>247</v>
      </c>
      <c r="C33" s="91">
        <f>'Analítico Cx.'!C40</f>
        <v>0</v>
      </c>
      <c r="D33" s="91">
        <f>'Analítico Cx.'!D40</f>
        <v>0</v>
      </c>
      <c r="E33" s="91">
        <f>'Analítico Cx.'!E40</f>
        <v>0</v>
      </c>
      <c r="F33" s="91">
        <f>'Analítico Cx.'!F40</f>
        <v>0</v>
      </c>
      <c r="G33" s="91">
        <f>'Analítico Cx.'!G40</f>
        <v>0</v>
      </c>
      <c r="H33" s="91">
        <f>'Analítico Cx.'!H40</f>
        <v>0</v>
      </c>
      <c r="I33" s="91">
        <f>'Analítico Cx.'!I40</f>
        <v>0</v>
      </c>
      <c r="J33" s="91">
        <f>'Analítico Cx.'!J40</f>
        <v>0</v>
      </c>
      <c r="K33" s="91">
        <f>'Analítico Cx.'!K40</f>
        <v>0</v>
      </c>
      <c r="L33" s="91">
        <f>'Analítico Cx.'!L40</f>
        <v>0</v>
      </c>
      <c r="M33" s="91">
        <f>'Analítico Cx.'!M40</f>
        <v>0</v>
      </c>
      <c r="N33" s="91">
        <f>'Analítico Cx.'!N40</f>
        <v>0</v>
      </c>
      <c r="O33" s="91">
        <f t="shared" si="13"/>
        <v>0</v>
      </c>
    </row>
    <row r="34" spans="1:15" ht="24">
      <c r="A34" s="82" t="s">
        <v>227</v>
      </c>
      <c r="B34" s="83" t="s">
        <v>159</v>
      </c>
      <c r="C34" s="91">
        <f>'Analítico Cx.'!C41</f>
        <v>160281.86000000002</v>
      </c>
      <c r="D34" s="91">
        <f>'Analítico Cx.'!D41</f>
        <v>0</v>
      </c>
      <c r="E34" s="91">
        <f>'Analítico Cx.'!E41</f>
        <v>6871</v>
      </c>
      <c r="F34" s="91">
        <f>'Analítico Cx.'!F41</f>
        <v>111592.76999999999</v>
      </c>
      <c r="G34" s="91">
        <f>'Analítico Cx.'!G41</f>
        <v>2008.91</v>
      </c>
      <c r="H34" s="91">
        <f>'Analítico Cx.'!H41</f>
        <v>129965.41</v>
      </c>
      <c r="I34" s="91">
        <f>'Analítico Cx.'!I41</f>
        <v>0</v>
      </c>
      <c r="J34" s="91">
        <f>'Analítico Cx.'!J41</f>
        <v>0</v>
      </c>
      <c r="K34" s="91">
        <f>'Analítico Cx.'!K41</f>
        <v>0</v>
      </c>
      <c r="L34" s="91">
        <f>'Analítico Cx.'!L41</f>
        <v>0</v>
      </c>
      <c r="M34" s="91">
        <f>'Analítico Cx.'!M41</f>
        <v>0</v>
      </c>
      <c r="N34" s="91">
        <f>'Analítico Cx.'!N41</f>
        <v>0</v>
      </c>
      <c r="O34" s="91">
        <f t="shared" si="13"/>
        <v>410719.94999999995</v>
      </c>
    </row>
    <row r="35" spans="1:15" ht="24.75" customHeight="1" thickBot="1">
      <c r="A35" s="261" t="s">
        <v>273</v>
      </c>
      <c r="B35" s="262"/>
      <c r="C35" s="263">
        <f>SUBTOTAL(109,C27:C34)</f>
        <v>1470209.6700000002</v>
      </c>
      <c r="D35" s="263">
        <f>SUBTOTAL(109,D27:D34)</f>
        <v>722853.41999999993</v>
      </c>
      <c r="E35" s="263">
        <f>SUBTOTAL(109,E27:E34)</f>
        <v>594840.81999999995</v>
      </c>
      <c r="F35" s="263">
        <f t="shared" ref="F35:N35" si="14">SUBTOTAL(109,F27:F34)</f>
        <v>863346.35</v>
      </c>
      <c r="G35" s="263">
        <f t="shared" si="14"/>
        <v>604996.74</v>
      </c>
      <c r="H35" s="263">
        <f t="shared" si="14"/>
        <v>879817.69</v>
      </c>
      <c r="I35" s="263">
        <f t="shared" si="14"/>
        <v>0</v>
      </c>
      <c r="J35" s="263">
        <f t="shared" si="14"/>
        <v>0</v>
      </c>
      <c r="K35" s="263">
        <f t="shared" si="14"/>
        <v>0</v>
      </c>
      <c r="L35" s="263">
        <f t="shared" si="14"/>
        <v>0</v>
      </c>
      <c r="M35" s="263">
        <f t="shared" si="14"/>
        <v>0</v>
      </c>
      <c r="N35" s="263">
        <f t="shared" si="14"/>
        <v>0</v>
      </c>
      <c r="O35" s="263">
        <f t="shared" si="13"/>
        <v>5136064.6899999995</v>
      </c>
    </row>
    <row r="36" spans="1:15" ht="24.75" customHeight="1" thickBot="1">
      <c r="A36" s="550" t="s">
        <v>254</v>
      </c>
      <c r="B36" s="550"/>
      <c r="C36" s="259">
        <f>C5+C15-C35-C25</f>
        <v>10819305.499999994</v>
      </c>
      <c r="D36" s="259">
        <f>D5+D15-D35-D25</f>
        <v>10819305.499999994</v>
      </c>
      <c r="E36" s="259">
        <f>E5+E15-E35-E25</f>
        <v>9307493.4299999941</v>
      </c>
      <c r="F36" s="259">
        <f t="shared" ref="F36:N36" si="15">F5+F15-F35-F25</f>
        <v>9735568.3399999943</v>
      </c>
      <c r="G36" s="259">
        <f t="shared" si="15"/>
        <v>10003561.769999994</v>
      </c>
      <c r="H36" s="259">
        <f t="shared" si="15"/>
        <v>10190309.989999995</v>
      </c>
      <c r="I36" s="259">
        <f t="shared" si="15"/>
        <v>10190309.989999995</v>
      </c>
      <c r="J36" s="259">
        <f t="shared" si="15"/>
        <v>10190309.989999995</v>
      </c>
      <c r="K36" s="259">
        <f t="shared" si="15"/>
        <v>10190309.989999995</v>
      </c>
      <c r="L36" s="259">
        <f t="shared" si="15"/>
        <v>10190309.989999995</v>
      </c>
      <c r="M36" s="259">
        <f t="shared" si="15"/>
        <v>10190309.989999995</v>
      </c>
      <c r="N36" s="259">
        <f t="shared" si="15"/>
        <v>10190309.989999995</v>
      </c>
      <c r="O36" s="260"/>
    </row>
    <row r="37" spans="1:15">
      <c r="A37" s="24"/>
      <c r="B37" s="25"/>
      <c r="C37" s="25"/>
      <c r="D37" s="25"/>
      <c r="E37" s="25"/>
      <c r="F37" s="25"/>
      <c r="G37" s="25"/>
      <c r="H37" s="25"/>
      <c r="I37" s="25"/>
      <c r="J37" s="25"/>
      <c r="K37" s="25"/>
      <c r="L37" s="25"/>
      <c r="M37" s="25"/>
      <c r="N37" s="25"/>
      <c r="O37" s="26"/>
    </row>
    <row r="38" spans="1:15">
      <c r="A38" s="24"/>
      <c r="B38" s="25"/>
      <c r="C38" s="25"/>
      <c r="D38" s="25"/>
      <c r="E38" s="25"/>
      <c r="F38" s="25"/>
      <c r="G38" s="25"/>
      <c r="H38" s="25"/>
      <c r="I38" s="448"/>
      <c r="J38" s="25"/>
      <c r="K38" s="25"/>
      <c r="L38" s="25"/>
      <c r="M38" s="25"/>
      <c r="N38" s="25"/>
      <c r="O38" s="26"/>
    </row>
    <row r="40" spans="1:15">
      <c r="I40" s="449"/>
    </row>
  </sheetData>
  <sheetProtection algorithmName="SHA-512" hashValue="Q0SOm3Mk/NUxNEAM1YqxALN0m+U8lWkvUzpj2hDyzPSKxqUxj6RHnNmXrhwxH9s7M4NkdnEn6jLXXVBH5+ExYw==" saltValue="p7ufSiP9nHW5Zv/+jgjMqA==" spinCount="100000" sheet="1" objects="1" scenarios="1" formatColumns="0" formatRows="0" insertRows="0"/>
  <mergeCells count="6">
    <mergeCell ref="A16:B16"/>
    <mergeCell ref="A36:B36"/>
    <mergeCell ref="A3:O3"/>
    <mergeCell ref="A1:O1"/>
    <mergeCell ref="A2:O2"/>
    <mergeCell ref="A26:B26"/>
  </mergeCells>
  <phoneticPr fontId="0" type="noConversion"/>
  <printOptions horizontalCentered="1"/>
  <pageMargins left="0.19685039370078741" right="0.19685039370078741" top="0.59055118110236227" bottom="0.59055118110236227" header="0" footer="0"/>
  <pageSetup paperSize="9" scale="82" pageOrder="overThenDown" orientation="landscape" r:id="rId1"/>
  <headerFooter>
    <oddFoote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10">
    <tabColor theme="6" tint="-0.249977111117893"/>
    <pageSetUpPr fitToPage="1"/>
  </sheetPr>
  <dimension ref="A1:I596"/>
  <sheetViews>
    <sheetView showGridLines="0" workbookViewId="0">
      <pane ySplit="4" topLeftCell="A5" activePane="bottomLeft" state="frozen"/>
      <selection activeCell="K2409" sqref="K2409"/>
      <selection pane="bottomLeft" activeCell="A5" sqref="A5:XFD47"/>
    </sheetView>
  </sheetViews>
  <sheetFormatPr defaultColWidth="9.140625" defaultRowHeight="12.75"/>
  <cols>
    <col min="1" max="1" width="11" style="123" bestFit="1" customWidth="1"/>
    <col min="2" max="2" width="20.5703125" style="123" customWidth="1"/>
    <col min="3" max="3" width="18.28515625" style="123" customWidth="1"/>
    <col min="4" max="4" width="11" style="124" customWidth="1"/>
    <col min="5" max="5" width="10.140625" style="124" bestFit="1" customWidth="1"/>
    <col min="6" max="6" width="23.42578125" style="123" customWidth="1"/>
    <col min="7" max="7" width="12.85546875" style="123" customWidth="1"/>
    <col min="8" max="8" width="15.140625" style="123" customWidth="1"/>
    <col min="9" max="9" width="35.42578125" style="123" customWidth="1"/>
    <col min="10" max="16384" width="9.140625" style="113"/>
  </cols>
  <sheetData>
    <row r="1" spans="1:9" ht="27" customHeight="1">
      <c r="A1" s="541" t="str">
        <f>Capa!A70</f>
        <v xml:space="preserve">Contrato de Gestão nº06/2020 - Secretaria Estadual de Cultura e Instituto Cultural Filarmonica </v>
      </c>
      <c r="B1" s="541"/>
      <c r="C1" s="541"/>
      <c r="D1" s="541"/>
      <c r="E1" s="541"/>
      <c r="F1" s="541"/>
      <c r="G1" s="541"/>
      <c r="H1" s="541"/>
      <c r="I1" s="541"/>
    </row>
    <row r="2" spans="1:9" ht="20.25" customHeight="1">
      <c r="A2" s="541" t="str">
        <f>Capa!A5</f>
        <v>24º Relatório Gerencial Financeiro</v>
      </c>
      <c r="B2" s="541"/>
      <c r="C2" s="541"/>
      <c r="D2" s="541"/>
      <c r="E2" s="541"/>
      <c r="F2" s="541"/>
      <c r="G2" s="541"/>
      <c r="H2" s="541"/>
      <c r="I2" s="541"/>
    </row>
    <row r="3" spans="1:9" ht="20.25" customHeight="1" thickBot="1">
      <c r="A3" s="551" t="s">
        <v>381</v>
      </c>
      <c r="B3" s="551"/>
      <c r="C3" s="551"/>
      <c r="D3" s="551"/>
      <c r="E3" s="551"/>
      <c r="F3" s="551"/>
      <c r="G3" s="551"/>
      <c r="H3" s="551"/>
      <c r="I3" s="551"/>
    </row>
    <row r="4" spans="1:9" s="122" customFormat="1" ht="43.5" customHeight="1" thickBot="1">
      <c r="A4" s="251" t="s">
        <v>65</v>
      </c>
      <c r="B4" s="251" t="s">
        <v>66</v>
      </c>
      <c r="C4" s="251" t="s">
        <v>41</v>
      </c>
      <c r="D4" s="252" t="s">
        <v>262</v>
      </c>
      <c r="E4" s="251" t="s">
        <v>30</v>
      </c>
      <c r="F4" s="251" t="s">
        <v>31</v>
      </c>
      <c r="G4" s="251" t="s">
        <v>32</v>
      </c>
      <c r="H4" s="251" t="s">
        <v>83</v>
      </c>
      <c r="I4" s="251" t="s">
        <v>165</v>
      </c>
    </row>
    <row r="5" spans="1:9" s="120" customFormat="1" ht="38.25" hidden="1">
      <c r="A5" s="405" t="s">
        <v>2000</v>
      </c>
      <c r="B5" s="406" t="s">
        <v>2043</v>
      </c>
      <c r="C5" s="406" t="s">
        <v>218</v>
      </c>
      <c r="D5" s="407">
        <v>395</v>
      </c>
      <c r="E5" s="437" t="s">
        <v>885</v>
      </c>
      <c r="F5" s="406" t="s">
        <v>2059</v>
      </c>
      <c r="G5" s="438">
        <v>53</v>
      </c>
      <c r="H5" s="406" t="s">
        <v>2067</v>
      </c>
      <c r="I5" s="475" t="s">
        <v>2070</v>
      </c>
    </row>
    <row r="6" spans="1:9" s="120" customFormat="1" ht="38.25" hidden="1">
      <c r="A6" s="405" t="s">
        <v>2001</v>
      </c>
      <c r="B6" s="406" t="s">
        <v>2043</v>
      </c>
      <c r="C6" s="406" t="s">
        <v>218</v>
      </c>
      <c r="D6" s="407">
        <v>395</v>
      </c>
      <c r="E6" s="437" t="s">
        <v>885</v>
      </c>
      <c r="F6" s="406" t="s">
        <v>2059</v>
      </c>
      <c r="G6" s="438">
        <v>53</v>
      </c>
      <c r="H6" s="406" t="s">
        <v>2067</v>
      </c>
      <c r="I6" s="475" t="s">
        <v>2070</v>
      </c>
    </row>
    <row r="7" spans="1:9" s="120" customFormat="1" ht="38.25" hidden="1">
      <c r="A7" s="405" t="s">
        <v>2002</v>
      </c>
      <c r="B7" s="406" t="s">
        <v>2043</v>
      </c>
      <c r="C7" s="406" t="s">
        <v>218</v>
      </c>
      <c r="D7" s="407">
        <v>395</v>
      </c>
      <c r="E7" s="437" t="s">
        <v>885</v>
      </c>
      <c r="F7" s="406" t="s">
        <v>2059</v>
      </c>
      <c r="G7" s="438">
        <v>53</v>
      </c>
      <c r="H7" s="406" t="s">
        <v>2067</v>
      </c>
      <c r="I7" s="475" t="s">
        <v>2070</v>
      </c>
    </row>
    <row r="8" spans="1:9" s="120" customFormat="1" ht="38.25" hidden="1">
      <c r="A8" s="405" t="s">
        <v>2003</v>
      </c>
      <c r="B8" s="406" t="s">
        <v>2043</v>
      </c>
      <c r="C8" s="406" t="s">
        <v>218</v>
      </c>
      <c r="D8" s="407">
        <v>395</v>
      </c>
      <c r="E8" s="437" t="s">
        <v>885</v>
      </c>
      <c r="F8" s="406" t="s">
        <v>2059</v>
      </c>
      <c r="G8" s="438">
        <v>53</v>
      </c>
      <c r="H8" s="406" t="s">
        <v>2067</v>
      </c>
      <c r="I8" s="475" t="s">
        <v>2070</v>
      </c>
    </row>
    <row r="9" spans="1:9" s="120" customFormat="1" ht="38.25" hidden="1">
      <c r="A9" s="405" t="s">
        <v>2004</v>
      </c>
      <c r="B9" s="406" t="s">
        <v>2043</v>
      </c>
      <c r="C9" s="406" t="s">
        <v>218</v>
      </c>
      <c r="D9" s="407">
        <v>395</v>
      </c>
      <c r="E9" s="437" t="s">
        <v>885</v>
      </c>
      <c r="F9" s="406" t="s">
        <v>2059</v>
      </c>
      <c r="G9" s="438">
        <v>53</v>
      </c>
      <c r="H9" s="406" t="s">
        <v>2067</v>
      </c>
      <c r="I9" s="475" t="s">
        <v>2070</v>
      </c>
    </row>
    <row r="10" spans="1:9" s="120" customFormat="1" ht="38.25" hidden="1">
      <c r="A10" s="405" t="s">
        <v>2005</v>
      </c>
      <c r="B10" s="406" t="s">
        <v>2043</v>
      </c>
      <c r="C10" s="406" t="s">
        <v>218</v>
      </c>
      <c r="D10" s="407">
        <v>395</v>
      </c>
      <c r="E10" s="437" t="s">
        <v>885</v>
      </c>
      <c r="F10" s="406" t="s">
        <v>2059</v>
      </c>
      <c r="G10" s="438">
        <v>53</v>
      </c>
      <c r="H10" s="406" t="s">
        <v>2067</v>
      </c>
      <c r="I10" s="475" t="s">
        <v>2070</v>
      </c>
    </row>
    <row r="11" spans="1:9" s="120" customFormat="1" ht="38.25" hidden="1">
      <c r="A11" s="405" t="s">
        <v>2006</v>
      </c>
      <c r="B11" s="406" t="s">
        <v>2043</v>
      </c>
      <c r="C11" s="406" t="s">
        <v>218</v>
      </c>
      <c r="D11" s="407">
        <v>395</v>
      </c>
      <c r="E11" s="437" t="s">
        <v>885</v>
      </c>
      <c r="F11" s="406" t="s">
        <v>2059</v>
      </c>
      <c r="G11" s="438">
        <v>53</v>
      </c>
      <c r="H11" s="406" t="s">
        <v>2067</v>
      </c>
      <c r="I11" s="475" t="s">
        <v>2070</v>
      </c>
    </row>
    <row r="12" spans="1:9" s="120" customFormat="1" ht="38.25" hidden="1">
      <c r="A12" s="405" t="s">
        <v>2007</v>
      </c>
      <c r="B12" s="406" t="s">
        <v>2043</v>
      </c>
      <c r="C12" s="406" t="s">
        <v>218</v>
      </c>
      <c r="D12" s="407">
        <v>395</v>
      </c>
      <c r="E12" s="437" t="s">
        <v>885</v>
      </c>
      <c r="F12" s="406" t="s">
        <v>2059</v>
      </c>
      <c r="G12" s="438">
        <v>53</v>
      </c>
      <c r="H12" s="406" t="s">
        <v>2067</v>
      </c>
      <c r="I12" s="475" t="s">
        <v>2070</v>
      </c>
    </row>
    <row r="13" spans="1:9" s="120" customFormat="1" ht="38.25" hidden="1">
      <c r="A13" s="405" t="s">
        <v>2008</v>
      </c>
      <c r="B13" s="406" t="s">
        <v>2043</v>
      </c>
      <c r="C13" s="406" t="s">
        <v>218</v>
      </c>
      <c r="D13" s="407">
        <v>395</v>
      </c>
      <c r="E13" s="437" t="s">
        <v>885</v>
      </c>
      <c r="F13" s="406" t="s">
        <v>2059</v>
      </c>
      <c r="G13" s="438">
        <v>53</v>
      </c>
      <c r="H13" s="406" t="s">
        <v>2067</v>
      </c>
      <c r="I13" s="475" t="s">
        <v>2070</v>
      </c>
    </row>
    <row r="14" spans="1:9" s="120" customFormat="1" ht="38.25" hidden="1">
      <c r="A14" s="405" t="s">
        <v>2009</v>
      </c>
      <c r="B14" s="406" t="s">
        <v>2043</v>
      </c>
      <c r="C14" s="406" t="s">
        <v>218</v>
      </c>
      <c r="D14" s="407">
        <v>395</v>
      </c>
      <c r="E14" s="437" t="s">
        <v>885</v>
      </c>
      <c r="F14" s="406" t="s">
        <v>2059</v>
      </c>
      <c r="G14" s="438">
        <v>53</v>
      </c>
      <c r="H14" s="406" t="s">
        <v>2067</v>
      </c>
      <c r="I14" s="475" t="s">
        <v>2070</v>
      </c>
    </row>
    <row r="15" spans="1:9" s="120" customFormat="1" ht="51" hidden="1">
      <c r="A15" s="405" t="s">
        <v>2010</v>
      </c>
      <c r="B15" s="406" t="s">
        <v>2044</v>
      </c>
      <c r="C15" s="406" t="s">
        <v>218</v>
      </c>
      <c r="D15" s="407">
        <v>435</v>
      </c>
      <c r="E15" s="437" t="s">
        <v>885</v>
      </c>
      <c r="F15" s="406" t="s">
        <v>2059</v>
      </c>
      <c r="G15" s="438">
        <v>53</v>
      </c>
      <c r="H15" s="406" t="s">
        <v>2067</v>
      </c>
      <c r="I15" s="475" t="s">
        <v>2070</v>
      </c>
    </row>
    <row r="16" spans="1:9" s="120" customFormat="1" ht="51" hidden="1">
      <c r="A16" s="405" t="s">
        <v>2011</v>
      </c>
      <c r="B16" s="406" t="s">
        <v>2044</v>
      </c>
      <c r="C16" s="406" t="s">
        <v>218</v>
      </c>
      <c r="D16" s="407">
        <v>435</v>
      </c>
      <c r="E16" s="437" t="s">
        <v>885</v>
      </c>
      <c r="F16" s="406" t="s">
        <v>2059</v>
      </c>
      <c r="G16" s="438">
        <v>53</v>
      </c>
      <c r="H16" s="406" t="s">
        <v>2067</v>
      </c>
      <c r="I16" s="475" t="s">
        <v>2070</v>
      </c>
    </row>
    <row r="17" spans="1:9" s="120" customFormat="1" ht="51" hidden="1">
      <c r="A17" s="405" t="s">
        <v>2012</v>
      </c>
      <c r="B17" s="406" t="s">
        <v>2044</v>
      </c>
      <c r="C17" s="406" t="s">
        <v>218</v>
      </c>
      <c r="D17" s="407">
        <v>435</v>
      </c>
      <c r="E17" s="437" t="s">
        <v>885</v>
      </c>
      <c r="F17" s="406" t="s">
        <v>2059</v>
      </c>
      <c r="G17" s="438">
        <v>53</v>
      </c>
      <c r="H17" s="406" t="s">
        <v>2067</v>
      </c>
      <c r="I17" s="475" t="s">
        <v>2070</v>
      </c>
    </row>
    <row r="18" spans="1:9" s="120" customFormat="1" ht="51" hidden="1">
      <c r="A18" s="405" t="s">
        <v>2013</v>
      </c>
      <c r="B18" s="406" t="s">
        <v>2044</v>
      </c>
      <c r="C18" s="406" t="s">
        <v>218</v>
      </c>
      <c r="D18" s="407">
        <v>435</v>
      </c>
      <c r="E18" s="437" t="s">
        <v>885</v>
      </c>
      <c r="F18" s="406" t="s">
        <v>2059</v>
      </c>
      <c r="G18" s="438">
        <v>53</v>
      </c>
      <c r="H18" s="406" t="s">
        <v>2067</v>
      </c>
      <c r="I18" s="475" t="s">
        <v>2070</v>
      </c>
    </row>
    <row r="19" spans="1:9" s="120" customFormat="1" ht="51" hidden="1">
      <c r="A19" s="405" t="s">
        <v>2014</v>
      </c>
      <c r="B19" s="406" t="s">
        <v>2044</v>
      </c>
      <c r="C19" s="406" t="s">
        <v>218</v>
      </c>
      <c r="D19" s="407">
        <v>435</v>
      </c>
      <c r="E19" s="437" t="s">
        <v>885</v>
      </c>
      <c r="F19" s="406" t="s">
        <v>2059</v>
      </c>
      <c r="G19" s="438">
        <v>53</v>
      </c>
      <c r="H19" s="406" t="s">
        <v>2067</v>
      </c>
      <c r="I19" s="475" t="s">
        <v>2070</v>
      </c>
    </row>
    <row r="20" spans="1:9" s="120" customFormat="1" ht="51" hidden="1">
      <c r="A20" s="405" t="s">
        <v>2015</v>
      </c>
      <c r="B20" s="406" t="s">
        <v>2044</v>
      </c>
      <c r="C20" s="406" t="s">
        <v>218</v>
      </c>
      <c r="D20" s="407">
        <v>435</v>
      </c>
      <c r="E20" s="437" t="s">
        <v>885</v>
      </c>
      <c r="F20" s="406" t="s">
        <v>2059</v>
      </c>
      <c r="G20" s="438">
        <v>53</v>
      </c>
      <c r="H20" s="406" t="s">
        <v>2067</v>
      </c>
      <c r="I20" s="475" t="s">
        <v>2070</v>
      </c>
    </row>
    <row r="21" spans="1:9" s="120" customFormat="1" ht="51" hidden="1">
      <c r="A21" s="405" t="s">
        <v>2016</v>
      </c>
      <c r="B21" s="406" t="s">
        <v>2044</v>
      </c>
      <c r="C21" s="406" t="s">
        <v>218</v>
      </c>
      <c r="D21" s="407">
        <v>435</v>
      </c>
      <c r="E21" s="437" t="s">
        <v>885</v>
      </c>
      <c r="F21" s="406" t="s">
        <v>2059</v>
      </c>
      <c r="G21" s="438">
        <v>53</v>
      </c>
      <c r="H21" s="406" t="s">
        <v>2067</v>
      </c>
      <c r="I21" s="475" t="s">
        <v>2070</v>
      </c>
    </row>
    <row r="22" spans="1:9" s="120" customFormat="1" ht="51" hidden="1">
      <c r="A22" s="405" t="s">
        <v>2017</v>
      </c>
      <c r="B22" s="406" t="s">
        <v>2044</v>
      </c>
      <c r="C22" s="406" t="s">
        <v>218</v>
      </c>
      <c r="D22" s="407">
        <v>435</v>
      </c>
      <c r="E22" s="437" t="s">
        <v>885</v>
      </c>
      <c r="F22" s="406" t="s">
        <v>2059</v>
      </c>
      <c r="G22" s="438">
        <v>53</v>
      </c>
      <c r="H22" s="406" t="s">
        <v>2067</v>
      </c>
      <c r="I22" s="475" t="s">
        <v>2070</v>
      </c>
    </row>
    <row r="23" spans="1:9" s="120" customFormat="1" ht="51" hidden="1">
      <c r="A23" s="405" t="s">
        <v>2018</v>
      </c>
      <c r="B23" s="406" t="s">
        <v>2044</v>
      </c>
      <c r="C23" s="406" t="s">
        <v>218</v>
      </c>
      <c r="D23" s="407">
        <v>435</v>
      </c>
      <c r="E23" s="437" t="s">
        <v>885</v>
      </c>
      <c r="F23" s="406" t="s">
        <v>2059</v>
      </c>
      <c r="G23" s="438">
        <v>53</v>
      </c>
      <c r="H23" s="406" t="s">
        <v>2067</v>
      </c>
      <c r="I23" s="475" t="s">
        <v>2070</v>
      </c>
    </row>
    <row r="24" spans="1:9" s="120" customFormat="1" ht="51" hidden="1">
      <c r="A24" s="405" t="s">
        <v>2019</v>
      </c>
      <c r="B24" s="406" t="s">
        <v>2044</v>
      </c>
      <c r="C24" s="406" t="s">
        <v>218</v>
      </c>
      <c r="D24" s="407">
        <v>435</v>
      </c>
      <c r="E24" s="437" t="s">
        <v>885</v>
      </c>
      <c r="F24" s="406" t="s">
        <v>2059</v>
      </c>
      <c r="G24" s="438">
        <v>53</v>
      </c>
      <c r="H24" s="406" t="s">
        <v>2067</v>
      </c>
      <c r="I24" s="475" t="s">
        <v>2070</v>
      </c>
    </row>
    <row r="25" spans="1:9" s="120" customFormat="1" ht="51" hidden="1">
      <c r="A25" s="405" t="s">
        <v>2020</v>
      </c>
      <c r="B25" s="406" t="s">
        <v>2044</v>
      </c>
      <c r="C25" s="406" t="s">
        <v>218</v>
      </c>
      <c r="D25" s="407">
        <v>435</v>
      </c>
      <c r="E25" s="437" t="s">
        <v>885</v>
      </c>
      <c r="F25" s="406" t="s">
        <v>2059</v>
      </c>
      <c r="G25" s="438">
        <v>53</v>
      </c>
      <c r="H25" s="406" t="s">
        <v>2067</v>
      </c>
      <c r="I25" s="475" t="s">
        <v>2070</v>
      </c>
    </row>
    <row r="26" spans="1:9" s="120" customFormat="1" ht="51" hidden="1">
      <c r="A26" s="405" t="s">
        <v>2021</v>
      </c>
      <c r="B26" s="406" t="s">
        <v>2044</v>
      </c>
      <c r="C26" s="406" t="s">
        <v>218</v>
      </c>
      <c r="D26" s="407">
        <v>435</v>
      </c>
      <c r="E26" s="437" t="s">
        <v>885</v>
      </c>
      <c r="F26" s="406" t="s">
        <v>2059</v>
      </c>
      <c r="G26" s="438">
        <v>53</v>
      </c>
      <c r="H26" s="406" t="s">
        <v>2067</v>
      </c>
      <c r="I26" s="475" t="s">
        <v>2070</v>
      </c>
    </row>
    <row r="27" spans="1:9" s="120" customFormat="1" ht="51" hidden="1">
      <c r="A27" s="405" t="s">
        <v>2022</v>
      </c>
      <c r="B27" s="406" t="s">
        <v>2044</v>
      </c>
      <c r="C27" s="406" t="s">
        <v>218</v>
      </c>
      <c r="D27" s="407">
        <v>435</v>
      </c>
      <c r="E27" s="437" t="s">
        <v>885</v>
      </c>
      <c r="F27" s="406" t="s">
        <v>2059</v>
      </c>
      <c r="G27" s="438">
        <v>53</v>
      </c>
      <c r="H27" s="406" t="s">
        <v>2067</v>
      </c>
      <c r="I27" s="475" t="s">
        <v>2070</v>
      </c>
    </row>
    <row r="28" spans="1:9" s="120" customFormat="1" ht="51" hidden="1">
      <c r="A28" s="405" t="s">
        <v>2023</v>
      </c>
      <c r="B28" s="406" t="s">
        <v>2044</v>
      </c>
      <c r="C28" s="406" t="s">
        <v>218</v>
      </c>
      <c r="D28" s="407">
        <v>435</v>
      </c>
      <c r="E28" s="437" t="s">
        <v>885</v>
      </c>
      <c r="F28" s="406" t="s">
        <v>2059</v>
      </c>
      <c r="G28" s="438">
        <v>53</v>
      </c>
      <c r="H28" s="406" t="s">
        <v>2067</v>
      </c>
      <c r="I28" s="475" t="s">
        <v>2070</v>
      </c>
    </row>
    <row r="29" spans="1:9" s="120" customFormat="1" ht="51" hidden="1">
      <c r="A29" s="405" t="s">
        <v>2024</v>
      </c>
      <c r="B29" s="406" t="s">
        <v>2044</v>
      </c>
      <c r="C29" s="406" t="s">
        <v>218</v>
      </c>
      <c r="D29" s="407">
        <v>435</v>
      </c>
      <c r="E29" s="437" t="s">
        <v>885</v>
      </c>
      <c r="F29" s="406" t="s">
        <v>2059</v>
      </c>
      <c r="G29" s="438">
        <v>53</v>
      </c>
      <c r="H29" s="406" t="s">
        <v>2067</v>
      </c>
      <c r="I29" s="475" t="s">
        <v>2070</v>
      </c>
    </row>
    <row r="30" spans="1:9" s="120" customFormat="1" ht="51" hidden="1">
      <c r="A30" s="405" t="s">
        <v>2025</v>
      </c>
      <c r="B30" s="406" t="s">
        <v>2045</v>
      </c>
      <c r="C30" s="406" t="s">
        <v>218</v>
      </c>
      <c r="D30" s="407">
        <v>875.2</v>
      </c>
      <c r="E30" s="437" t="s">
        <v>1189</v>
      </c>
      <c r="F30" s="406" t="s">
        <v>2060</v>
      </c>
      <c r="G30" s="438">
        <v>2799</v>
      </c>
      <c r="H30" s="406" t="s">
        <v>2068</v>
      </c>
      <c r="I30" s="406" t="s">
        <v>1306</v>
      </c>
    </row>
    <row r="31" spans="1:9" s="120" customFormat="1" ht="51" hidden="1">
      <c r="A31" s="405" t="s">
        <v>2026</v>
      </c>
      <c r="B31" s="406" t="s">
        <v>2045</v>
      </c>
      <c r="C31" s="406" t="s">
        <v>218</v>
      </c>
      <c r="D31" s="407">
        <v>875.2</v>
      </c>
      <c r="E31" s="437" t="s">
        <v>1189</v>
      </c>
      <c r="F31" s="406" t="s">
        <v>2060</v>
      </c>
      <c r="G31" s="438">
        <v>2799</v>
      </c>
      <c r="H31" s="406" t="s">
        <v>2068</v>
      </c>
      <c r="I31" s="406" t="s">
        <v>1306</v>
      </c>
    </row>
    <row r="32" spans="1:9" s="120" customFormat="1" ht="51" hidden="1">
      <c r="A32" s="405" t="s">
        <v>2027</v>
      </c>
      <c r="B32" s="406" t="s">
        <v>2045</v>
      </c>
      <c r="C32" s="406" t="s">
        <v>218</v>
      </c>
      <c r="D32" s="407">
        <v>875.2</v>
      </c>
      <c r="E32" s="437" t="s">
        <v>1189</v>
      </c>
      <c r="F32" s="406" t="s">
        <v>2060</v>
      </c>
      <c r="G32" s="438">
        <v>2799</v>
      </c>
      <c r="H32" s="406" t="s">
        <v>2068</v>
      </c>
      <c r="I32" s="406" t="s">
        <v>1306</v>
      </c>
    </row>
    <row r="33" spans="1:9" s="120" customFormat="1" ht="51" hidden="1">
      <c r="A33" s="405" t="s">
        <v>2028</v>
      </c>
      <c r="B33" s="406" t="s">
        <v>2045</v>
      </c>
      <c r="C33" s="406" t="s">
        <v>218</v>
      </c>
      <c r="D33" s="407">
        <v>875.2</v>
      </c>
      <c r="E33" s="437" t="s">
        <v>1189</v>
      </c>
      <c r="F33" s="406" t="s">
        <v>2060</v>
      </c>
      <c r="G33" s="438">
        <v>2799</v>
      </c>
      <c r="H33" s="406" t="s">
        <v>2068</v>
      </c>
      <c r="I33" s="406" t="s">
        <v>1306</v>
      </c>
    </row>
    <row r="34" spans="1:9" s="120" customFormat="1" ht="51" hidden="1">
      <c r="A34" s="405" t="s">
        <v>2029</v>
      </c>
      <c r="B34" s="406" t="s">
        <v>2045</v>
      </c>
      <c r="C34" s="406" t="s">
        <v>218</v>
      </c>
      <c r="D34" s="407">
        <v>875.2</v>
      </c>
      <c r="E34" s="437" t="s">
        <v>1189</v>
      </c>
      <c r="F34" s="406" t="s">
        <v>2060</v>
      </c>
      <c r="G34" s="438">
        <v>2799</v>
      </c>
      <c r="H34" s="406" t="s">
        <v>2068</v>
      </c>
      <c r="I34" s="406" t="s">
        <v>1306</v>
      </c>
    </row>
    <row r="35" spans="1:9" s="120" customFormat="1" ht="38.25" hidden="1">
      <c r="A35" s="405" t="s">
        <v>2030</v>
      </c>
      <c r="B35" s="406" t="s">
        <v>2046</v>
      </c>
      <c r="C35" s="405" t="s">
        <v>1220</v>
      </c>
      <c r="D35" s="407">
        <v>1005.26</v>
      </c>
      <c r="E35" s="437" t="s">
        <v>1196</v>
      </c>
      <c r="F35" s="406" t="s">
        <v>2061</v>
      </c>
      <c r="G35" s="438">
        <v>2027</v>
      </c>
      <c r="H35" s="406" t="s">
        <v>2069</v>
      </c>
      <c r="I35" s="406" t="s">
        <v>1394</v>
      </c>
    </row>
    <row r="36" spans="1:9" s="120" customFormat="1" ht="51" hidden="1">
      <c r="A36" s="405" t="s">
        <v>2031</v>
      </c>
      <c r="B36" s="406" t="s">
        <v>2047</v>
      </c>
      <c r="C36" s="405" t="s">
        <v>1220</v>
      </c>
      <c r="D36" s="407">
        <v>430.82</v>
      </c>
      <c r="E36" s="437" t="s">
        <v>1196</v>
      </c>
      <c r="F36" s="406" t="s">
        <v>2062</v>
      </c>
      <c r="G36" s="438">
        <v>5043402</v>
      </c>
      <c r="H36" s="406" t="s">
        <v>2069</v>
      </c>
      <c r="I36" s="406" t="s">
        <v>1393</v>
      </c>
    </row>
    <row r="37" spans="1:9" s="120" customFormat="1" ht="51" hidden="1">
      <c r="A37" s="405" t="s">
        <v>2032</v>
      </c>
      <c r="B37" s="406" t="s">
        <v>2048</v>
      </c>
      <c r="C37" s="405" t="s">
        <v>1220</v>
      </c>
      <c r="D37" s="407">
        <v>516.99</v>
      </c>
      <c r="E37" s="437" t="s">
        <v>1196</v>
      </c>
      <c r="F37" s="406" t="s">
        <v>2062</v>
      </c>
      <c r="G37" s="438">
        <v>5043400</v>
      </c>
      <c r="H37" s="406" t="s">
        <v>2069</v>
      </c>
      <c r="I37" s="406" t="s">
        <v>1392</v>
      </c>
    </row>
    <row r="38" spans="1:9" s="120" customFormat="1" ht="63.75" hidden="1">
      <c r="A38" s="405" t="s">
        <v>2033</v>
      </c>
      <c r="B38" s="406" t="s">
        <v>2049</v>
      </c>
      <c r="C38" s="405" t="s">
        <v>1220</v>
      </c>
      <c r="D38" s="407">
        <v>350</v>
      </c>
      <c r="E38" s="437" t="s">
        <v>1197</v>
      </c>
      <c r="F38" s="406" t="s">
        <v>2063</v>
      </c>
      <c r="G38" s="438">
        <v>59066</v>
      </c>
      <c r="H38" s="406" t="s">
        <v>2069</v>
      </c>
      <c r="I38" s="406" t="s">
        <v>2071</v>
      </c>
    </row>
    <row r="39" spans="1:9" s="120" customFormat="1" ht="51" hidden="1">
      <c r="A39" s="405" t="s">
        <v>2034</v>
      </c>
      <c r="B39" s="406" t="s">
        <v>2050</v>
      </c>
      <c r="C39" s="405" t="s">
        <v>1220</v>
      </c>
      <c r="D39" s="407">
        <v>516.92999999999995</v>
      </c>
      <c r="E39" s="437" t="s">
        <v>1202</v>
      </c>
      <c r="F39" s="406" t="s">
        <v>2064</v>
      </c>
      <c r="G39" s="438">
        <v>11172784</v>
      </c>
      <c r="H39" s="406" t="s">
        <v>2069</v>
      </c>
      <c r="I39" s="406" t="s">
        <v>1391</v>
      </c>
    </row>
    <row r="40" spans="1:9" s="120" customFormat="1" ht="38.25" hidden="1">
      <c r="A40" s="405" t="s">
        <v>2035</v>
      </c>
      <c r="B40" s="406" t="s">
        <v>2051</v>
      </c>
      <c r="C40" s="405" t="s">
        <v>1220</v>
      </c>
      <c r="D40" s="407">
        <v>272.8</v>
      </c>
      <c r="E40" s="437" t="s">
        <v>1202</v>
      </c>
      <c r="F40" s="406" t="s">
        <v>2065</v>
      </c>
      <c r="G40" s="438">
        <v>86490007</v>
      </c>
      <c r="H40" s="406" t="s">
        <v>2069</v>
      </c>
      <c r="I40" s="406" t="s">
        <v>1396</v>
      </c>
    </row>
    <row r="41" spans="1:9" s="120" customFormat="1" ht="63.75" hidden="1">
      <c r="A41" s="405" t="s">
        <v>2036</v>
      </c>
      <c r="B41" s="406" t="s">
        <v>2052</v>
      </c>
      <c r="C41" s="405" t="s">
        <v>1220</v>
      </c>
      <c r="D41" s="407">
        <v>2700</v>
      </c>
      <c r="E41" s="437" t="s">
        <v>1522</v>
      </c>
      <c r="F41" s="406" t="s">
        <v>2066</v>
      </c>
      <c r="G41" s="438">
        <v>343</v>
      </c>
      <c r="H41" s="406" t="s">
        <v>2069</v>
      </c>
      <c r="I41" s="406" t="s">
        <v>1647</v>
      </c>
    </row>
    <row r="42" spans="1:9" s="120" customFormat="1" ht="63.75" hidden="1">
      <c r="A42" s="405" t="s">
        <v>2037</v>
      </c>
      <c r="B42" s="406" t="s">
        <v>2053</v>
      </c>
      <c r="C42" s="405" t="s">
        <v>1220</v>
      </c>
      <c r="D42" s="407">
        <v>2700</v>
      </c>
      <c r="E42" s="437" t="s">
        <v>1522</v>
      </c>
      <c r="F42" s="406" t="s">
        <v>2066</v>
      </c>
      <c r="G42" s="438">
        <v>343</v>
      </c>
      <c r="H42" s="406" t="s">
        <v>2069</v>
      </c>
      <c r="I42" s="406" t="s">
        <v>1647</v>
      </c>
    </row>
    <row r="43" spans="1:9" s="120" customFormat="1" ht="63.75" hidden="1">
      <c r="A43" s="405" t="s">
        <v>2038</v>
      </c>
      <c r="B43" s="406" t="s">
        <v>2054</v>
      </c>
      <c r="C43" s="405" t="s">
        <v>1220</v>
      </c>
      <c r="D43" s="407">
        <v>2700</v>
      </c>
      <c r="E43" s="437" t="s">
        <v>1522</v>
      </c>
      <c r="F43" s="406" t="s">
        <v>2066</v>
      </c>
      <c r="G43" s="438">
        <v>343</v>
      </c>
      <c r="H43" s="406" t="s">
        <v>2069</v>
      </c>
      <c r="I43" s="406" t="s">
        <v>1647</v>
      </c>
    </row>
    <row r="44" spans="1:9" s="120" customFormat="1" ht="38.25" hidden="1">
      <c r="A44" s="405" t="s">
        <v>2039</v>
      </c>
      <c r="B44" s="406" t="s">
        <v>2055</v>
      </c>
      <c r="C44" s="405" t="s">
        <v>1220</v>
      </c>
      <c r="D44" s="407">
        <v>750</v>
      </c>
      <c r="E44" s="437" t="s">
        <v>1537</v>
      </c>
      <c r="F44" s="406" t="s">
        <v>2063</v>
      </c>
      <c r="G44" s="438">
        <v>59378</v>
      </c>
      <c r="H44" s="406" t="s">
        <v>2069</v>
      </c>
      <c r="I44" s="406" t="s">
        <v>2072</v>
      </c>
    </row>
    <row r="45" spans="1:9" s="120" customFormat="1" ht="51" hidden="1">
      <c r="A45" s="405" t="s">
        <v>2040</v>
      </c>
      <c r="B45" s="406" t="s">
        <v>2056</v>
      </c>
      <c r="C45" s="405" t="s">
        <v>1220</v>
      </c>
      <c r="D45" s="407">
        <v>2896</v>
      </c>
      <c r="E45" s="437" t="s">
        <v>1537</v>
      </c>
      <c r="F45" s="406" t="s">
        <v>2063</v>
      </c>
      <c r="G45" s="438">
        <v>59378</v>
      </c>
      <c r="H45" s="406" t="s">
        <v>2069</v>
      </c>
      <c r="I45" s="406" t="s">
        <v>2072</v>
      </c>
    </row>
    <row r="46" spans="1:9" s="120" customFormat="1" ht="38.25" hidden="1">
      <c r="A46" s="405" t="s">
        <v>2041</v>
      </c>
      <c r="B46" s="406" t="s">
        <v>2057</v>
      </c>
      <c r="C46" s="405" t="s">
        <v>1220</v>
      </c>
      <c r="D46" s="407">
        <v>3495</v>
      </c>
      <c r="E46" s="437" t="s">
        <v>1537</v>
      </c>
      <c r="F46" s="406" t="s">
        <v>2063</v>
      </c>
      <c r="G46" s="438">
        <v>59378</v>
      </c>
      <c r="H46" s="406" t="s">
        <v>2069</v>
      </c>
      <c r="I46" s="406" t="s">
        <v>2072</v>
      </c>
    </row>
    <row r="47" spans="1:9" s="120" customFormat="1" ht="38.25" hidden="1">
      <c r="A47" s="405" t="s">
        <v>2042</v>
      </c>
      <c r="B47" s="406" t="s">
        <v>2058</v>
      </c>
      <c r="C47" s="405" t="s">
        <v>1220</v>
      </c>
      <c r="D47" s="407">
        <v>6926</v>
      </c>
      <c r="E47" s="437" t="s">
        <v>1537</v>
      </c>
      <c r="F47" s="406" t="s">
        <v>2063</v>
      </c>
      <c r="G47" s="438">
        <v>59378</v>
      </c>
      <c r="H47" s="406" t="s">
        <v>2069</v>
      </c>
      <c r="I47" s="406" t="s">
        <v>2072</v>
      </c>
    </row>
    <row r="48" spans="1:9" s="120" customFormat="1" ht="25.5">
      <c r="A48" s="405" t="s">
        <v>3160</v>
      </c>
      <c r="B48" s="406" t="s">
        <v>3257</v>
      </c>
      <c r="C48" s="406" t="s">
        <v>3287</v>
      </c>
      <c r="D48" s="407">
        <v>1064</v>
      </c>
      <c r="E48" s="437" t="s">
        <v>2090</v>
      </c>
      <c r="F48" s="406" t="s">
        <v>3298</v>
      </c>
      <c r="G48" s="438">
        <v>100365</v>
      </c>
      <c r="H48" s="406" t="s">
        <v>3312</v>
      </c>
      <c r="I48" s="406" t="s">
        <v>2384</v>
      </c>
    </row>
    <row r="49" spans="1:9" s="120" customFormat="1" ht="38.25">
      <c r="A49" s="405" t="s">
        <v>3161</v>
      </c>
      <c r="B49" s="406" t="s">
        <v>3258</v>
      </c>
      <c r="C49" s="406" t="s">
        <v>3288</v>
      </c>
      <c r="D49" s="407">
        <v>650</v>
      </c>
      <c r="E49" s="437" t="s">
        <v>2097</v>
      </c>
      <c r="F49" s="406" t="s">
        <v>3299</v>
      </c>
      <c r="G49" s="438">
        <v>18544</v>
      </c>
      <c r="H49" s="406" t="s">
        <v>3313</v>
      </c>
      <c r="I49" s="406" t="s">
        <v>3332</v>
      </c>
    </row>
    <row r="50" spans="1:9" s="120" customFormat="1" ht="38.25">
      <c r="A50" s="405" t="s">
        <v>3162</v>
      </c>
      <c r="B50" s="406" t="s">
        <v>3258</v>
      </c>
      <c r="C50" s="406" t="s">
        <v>3288</v>
      </c>
      <c r="D50" s="407">
        <v>650</v>
      </c>
      <c r="E50" s="437" t="s">
        <v>2097</v>
      </c>
      <c r="F50" s="406" t="s">
        <v>3299</v>
      </c>
      <c r="G50" s="438">
        <v>18543</v>
      </c>
      <c r="H50" s="406" t="s">
        <v>3313</v>
      </c>
      <c r="I50" s="406" t="s">
        <v>3332</v>
      </c>
    </row>
    <row r="51" spans="1:9" s="120" customFormat="1" ht="76.5">
      <c r="A51" s="405" t="s">
        <v>3163</v>
      </c>
      <c r="B51" s="406" t="s">
        <v>3259</v>
      </c>
      <c r="C51" s="406" t="s">
        <v>3289</v>
      </c>
      <c r="D51" s="407">
        <v>745.44</v>
      </c>
      <c r="E51" s="437" t="s">
        <v>2099</v>
      </c>
      <c r="F51" s="406" t="s">
        <v>3300</v>
      </c>
      <c r="G51" s="438">
        <v>115582045</v>
      </c>
      <c r="H51" s="406" t="s">
        <v>3314</v>
      </c>
      <c r="I51" s="406" t="s">
        <v>3333</v>
      </c>
    </row>
    <row r="52" spans="1:9" s="120" customFormat="1" ht="38.25">
      <c r="A52" s="405" t="s">
        <v>3164</v>
      </c>
      <c r="B52" s="406" t="s">
        <v>3260</v>
      </c>
      <c r="C52" s="406" t="s">
        <v>3290</v>
      </c>
      <c r="D52" s="407">
        <v>18499</v>
      </c>
      <c r="E52" s="437" t="s">
        <v>2104</v>
      </c>
      <c r="F52" s="406" t="s">
        <v>3347</v>
      </c>
      <c r="G52" s="438">
        <v>3766</v>
      </c>
      <c r="H52" s="406" t="s">
        <v>3315</v>
      </c>
      <c r="I52" s="406" t="s">
        <v>3260</v>
      </c>
    </row>
    <row r="53" spans="1:9" s="120" customFormat="1" ht="25.5">
      <c r="A53" s="405" t="s">
        <v>3165</v>
      </c>
      <c r="B53" s="406" t="s">
        <v>3261</v>
      </c>
      <c r="C53" s="406" t="s">
        <v>3288</v>
      </c>
      <c r="D53" s="407">
        <v>21210</v>
      </c>
      <c r="E53" s="437" t="s">
        <v>2104</v>
      </c>
      <c r="F53" s="406" t="s">
        <v>3347</v>
      </c>
      <c r="G53" s="438">
        <v>3765</v>
      </c>
      <c r="H53" s="406" t="s">
        <v>3315</v>
      </c>
      <c r="I53" s="406" t="s">
        <v>3261</v>
      </c>
    </row>
    <row r="54" spans="1:9" s="120" customFormat="1" ht="25.5">
      <c r="A54" s="405" t="s">
        <v>3166</v>
      </c>
      <c r="B54" s="406" t="s">
        <v>3261</v>
      </c>
      <c r="C54" s="406" t="s">
        <v>3288</v>
      </c>
      <c r="D54" s="407">
        <v>21210</v>
      </c>
      <c r="E54" s="437" t="s">
        <v>2104</v>
      </c>
      <c r="F54" s="406" t="s">
        <v>3347</v>
      </c>
      <c r="G54" s="438">
        <v>3765</v>
      </c>
      <c r="H54" s="406" t="s">
        <v>3315</v>
      </c>
      <c r="I54" s="406" t="s">
        <v>3261</v>
      </c>
    </row>
    <row r="55" spans="1:9" s="120" customFormat="1" ht="25.5">
      <c r="A55" s="405" t="s">
        <v>3167</v>
      </c>
      <c r="B55" s="406" t="s">
        <v>3261</v>
      </c>
      <c r="C55" s="406" t="s">
        <v>3288</v>
      </c>
      <c r="D55" s="407">
        <v>21210</v>
      </c>
      <c r="E55" s="437" t="s">
        <v>2104</v>
      </c>
      <c r="F55" s="406" t="s">
        <v>3347</v>
      </c>
      <c r="G55" s="438">
        <v>3765</v>
      </c>
      <c r="H55" s="406" t="s">
        <v>3315</v>
      </c>
      <c r="I55" s="406" t="s">
        <v>3261</v>
      </c>
    </row>
    <row r="56" spans="1:9" s="120" customFormat="1" ht="25.5">
      <c r="A56" s="405" t="s">
        <v>3168</v>
      </c>
      <c r="B56" s="406" t="s">
        <v>3261</v>
      </c>
      <c r="C56" s="406" t="s">
        <v>3288</v>
      </c>
      <c r="D56" s="407">
        <v>21210</v>
      </c>
      <c r="E56" s="437" t="s">
        <v>2104</v>
      </c>
      <c r="F56" s="406" t="s">
        <v>3347</v>
      </c>
      <c r="G56" s="438">
        <v>3765</v>
      </c>
      <c r="H56" s="406" t="s">
        <v>3315</v>
      </c>
      <c r="I56" s="406" t="s">
        <v>3261</v>
      </c>
    </row>
    <row r="57" spans="1:9" s="120" customFormat="1" ht="25.5">
      <c r="A57" s="405" t="s">
        <v>3169</v>
      </c>
      <c r="B57" s="406" t="s">
        <v>3261</v>
      </c>
      <c r="C57" s="406" t="s">
        <v>3288</v>
      </c>
      <c r="D57" s="407">
        <v>21210</v>
      </c>
      <c r="E57" s="437" t="s">
        <v>2104</v>
      </c>
      <c r="F57" s="406" t="s">
        <v>3347</v>
      </c>
      <c r="G57" s="438">
        <v>3765</v>
      </c>
      <c r="H57" s="406" t="s">
        <v>3315</v>
      </c>
      <c r="I57" s="406" t="s">
        <v>3261</v>
      </c>
    </row>
    <row r="58" spans="1:9" s="120" customFormat="1" ht="25.5">
      <c r="A58" s="405" t="s">
        <v>3170</v>
      </c>
      <c r="B58" s="406" t="s">
        <v>3261</v>
      </c>
      <c r="C58" s="406" t="s">
        <v>3288</v>
      </c>
      <c r="D58" s="407">
        <v>21210</v>
      </c>
      <c r="E58" s="437" t="s">
        <v>2104</v>
      </c>
      <c r="F58" s="406" t="s">
        <v>3347</v>
      </c>
      <c r="G58" s="438">
        <v>3765</v>
      </c>
      <c r="H58" s="406" t="s">
        <v>3315</v>
      </c>
      <c r="I58" s="406" t="s">
        <v>3261</v>
      </c>
    </row>
    <row r="59" spans="1:9" s="120" customFormat="1" ht="25.5">
      <c r="A59" s="405" t="s">
        <v>3171</v>
      </c>
      <c r="B59" s="406" t="s">
        <v>3261</v>
      </c>
      <c r="C59" s="406" t="s">
        <v>3288</v>
      </c>
      <c r="D59" s="407">
        <v>21210</v>
      </c>
      <c r="E59" s="437" t="s">
        <v>2104</v>
      </c>
      <c r="F59" s="406" t="s">
        <v>3347</v>
      </c>
      <c r="G59" s="438">
        <v>3765</v>
      </c>
      <c r="H59" s="406" t="s">
        <v>3315</v>
      </c>
      <c r="I59" s="406" t="s">
        <v>3261</v>
      </c>
    </row>
    <row r="60" spans="1:9" s="120" customFormat="1" ht="38.25">
      <c r="A60" s="405" t="s">
        <v>3172</v>
      </c>
      <c r="B60" s="406" t="s">
        <v>3262</v>
      </c>
      <c r="C60" s="406" t="s">
        <v>3291</v>
      </c>
      <c r="D60" s="407">
        <v>590.91</v>
      </c>
      <c r="E60" s="437" t="s">
        <v>2105</v>
      </c>
      <c r="F60" s="406" t="s">
        <v>3301</v>
      </c>
      <c r="G60" s="438">
        <v>296771</v>
      </c>
      <c r="H60" s="406" t="s">
        <v>3316</v>
      </c>
      <c r="I60" s="406" t="s">
        <v>3334</v>
      </c>
    </row>
    <row r="61" spans="1:9" s="120" customFormat="1" ht="38.25">
      <c r="A61" s="405" t="s">
        <v>3173</v>
      </c>
      <c r="B61" s="406" t="s">
        <v>3263</v>
      </c>
      <c r="C61" s="406" t="s">
        <v>1220</v>
      </c>
      <c r="D61" s="407">
        <v>2280</v>
      </c>
      <c r="E61" s="437" t="s">
        <v>2528</v>
      </c>
      <c r="F61" s="406" t="s">
        <v>2063</v>
      </c>
      <c r="G61" s="438">
        <v>60351</v>
      </c>
      <c r="H61" s="406" t="s">
        <v>2069</v>
      </c>
      <c r="I61" s="406" t="s">
        <v>3335</v>
      </c>
    </row>
    <row r="62" spans="1:9" s="120" customFormat="1" ht="38.25">
      <c r="A62" s="405" t="s">
        <v>3174</v>
      </c>
      <c r="B62" s="406" t="s">
        <v>3264</v>
      </c>
      <c r="C62" s="406" t="s">
        <v>1220</v>
      </c>
      <c r="D62" s="407">
        <v>2250</v>
      </c>
      <c r="E62" s="437" t="s">
        <v>2528</v>
      </c>
      <c r="F62" s="406" t="s">
        <v>2063</v>
      </c>
      <c r="G62" s="438">
        <v>60353</v>
      </c>
      <c r="H62" s="406" t="s">
        <v>2069</v>
      </c>
      <c r="I62" s="406" t="s">
        <v>3336</v>
      </c>
    </row>
    <row r="63" spans="1:9" s="120" customFormat="1" ht="38.25">
      <c r="A63" s="405" t="s">
        <v>3175</v>
      </c>
      <c r="B63" s="406" t="s">
        <v>3265</v>
      </c>
      <c r="C63" s="406" t="s">
        <v>1220</v>
      </c>
      <c r="D63" s="407">
        <v>2340</v>
      </c>
      <c r="E63" s="437" t="s">
        <v>2528</v>
      </c>
      <c r="F63" s="406" t="s">
        <v>2063</v>
      </c>
      <c r="G63" s="438">
        <v>60353</v>
      </c>
      <c r="H63" s="406" t="s">
        <v>2069</v>
      </c>
      <c r="I63" s="406" t="s">
        <v>3337</v>
      </c>
    </row>
    <row r="64" spans="1:9" s="120" customFormat="1" ht="38.25">
      <c r="A64" s="405" t="s">
        <v>3176</v>
      </c>
      <c r="B64" s="406" t="s">
        <v>3266</v>
      </c>
      <c r="C64" s="406" t="s">
        <v>1220</v>
      </c>
      <c r="D64" s="407">
        <v>4250</v>
      </c>
      <c r="E64" s="437" t="s">
        <v>2528</v>
      </c>
      <c r="F64" s="406" t="s">
        <v>2063</v>
      </c>
      <c r="G64" s="438">
        <v>60353</v>
      </c>
      <c r="H64" s="406" t="s">
        <v>2069</v>
      </c>
      <c r="I64" s="406" t="s">
        <v>3337</v>
      </c>
    </row>
    <row r="65" spans="1:9" s="120" customFormat="1" ht="25.5">
      <c r="A65" s="405" t="s">
        <v>3177</v>
      </c>
      <c r="B65" s="406" t="s">
        <v>3267</v>
      </c>
      <c r="C65" s="406" t="s">
        <v>3289</v>
      </c>
      <c r="D65" s="407">
        <v>661</v>
      </c>
      <c r="E65" s="437" t="s">
        <v>2529</v>
      </c>
      <c r="F65" s="406" t="s">
        <v>3302</v>
      </c>
      <c r="G65" s="438">
        <v>151457</v>
      </c>
      <c r="H65" s="406" t="s">
        <v>3317</v>
      </c>
      <c r="I65" s="406" t="s">
        <v>2725</v>
      </c>
    </row>
    <row r="66" spans="1:9" s="120" customFormat="1" ht="38.25">
      <c r="A66" s="405" t="s">
        <v>3178</v>
      </c>
      <c r="B66" s="406" t="s">
        <v>3268</v>
      </c>
      <c r="C66" s="406" t="s">
        <v>3288</v>
      </c>
      <c r="D66" s="407">
        <v>278</v>
      </c>
      <c r="E66" s="437" t="s">
        <v>2531</v>
      </c>
      <c r="F66" s="406" t="s">
        <v>3303</v>
      </c>
      <c r="G66" s="438">
        <v>18316</v>
      </c>
      <c r="H66" s="406" t="s">
        <v>3318</v>
      </c>
      <c r="I66" s="406" t="s">
        <v>2912</v>
      </c>
    </row>
    <row r="67" spans="1:9" s="120" customFormat="1" ht="38.25">
      <c r="A67" s="405" t="s">
        <v>3179</v>
      </c>
      <c r="B67" s="406" t="s">
        <v>3268</v>
      </c>
      <c r="C67" s="406" t="s">
        <v>3288</v>
      </c>
      <c r="D67" s="407">
        <v>278</v>
      </c>
      <c r="E67" s="437" t="s">
        <v>2531</v>
      </c>
      <c r="F67" s="406" t="s">
        <v>3303</v>
      </c>
      <c r="G67" s="438">
        <v>18316</v>
      </c>
      <c r="H67" s="406" t="s">
        <v>3318</v>
      </c>
      <c r="I67" s="406" t="s">
        <v>2912</v>
      </c>
    </row>
    <row r="68" spans="1:9" s="120" customFormat="1" ht="38.25">
      <c r="A68" s="405" t="s">
        <v>3180</v>
      </c>
      <c r="B68" s="406" t="s">
        <v>3268</v>
      </c>
      <c r="C68" s="406" t="s">
        <v>3288</v>
      </c>
      <c r="D68" s="407">
        <v>278</v>
      </c>
      <c r="E68" s="437" t="s">
        <v>2531</v>
      </c>
      <c r="F68" s="406" t="s">
        <v>3303</v>
      </c>
      <c r="G68" s="438">
        <v>18316</v>
      </c>
      <c r="H68" s="406" t="s">
        <v>3318</v>
      </c>
      <c r="I68" s="406" t="s">
        <v>2912</v>
      </c>
    </row>
    <row r="69" spans="1:9" s="120" customFormat="1" ht="38.25">
      <c r="A69" s="405" t="s">
        <v>3181</v>
      </c>
      <c r="B69" s="406" t="s">
        <v>3268</v>
      </c>
      <c r="C69" s="406" t="s">
        <v>3288</v>
      </c>
      <c r="D69" s="407">
        <v>278</v>
      </c>
      <c r="E69" s="437" t="s">
        <v>2531</v>
      </c>
      <c r="F69" s="406" t="s">
        <v>3303</v>
      </c>
      <c r="G69" s="438">
        <v>18316</v>
      </c>
      <c r="H69" s="406" t="s">
        <v>3318</v>
      </c>
      <c r="I69" s="406" t="s">
        <v>2912</v>
      </c>
    </row>
    <row r="70" spans="1:9" s="120" customFormat="1" ht="38.25">
      <c r="A70" s="405" t="s">
        <v>3182</v>
      </c>
      <c r="B70" s="406" t="s">
        <v>3268</v>
      </c>
      <c r="C70" s="406" t="s">
        <v>3288</v>
      </c>
      <c r="D70" s="407">
        <v>278</v>
      </c>
      <c r="E70" s="437" t="s">
        <v>2531</v>
      </c>
      <c r="F70" s="406" t="s">
        <v>3303</v>
      </c>
      <c r="G70" s="438">
        <v>18316</v>
      </c>
      <c r="H70" s="406" t="s">
        <v>3318</v>
      </c>
      <c r="I70" s="406" t="s">
        <v>2912</v>
      </c>
    </row>
    <row r="71" spans="1:9" s="120" customFormat="1" ht="38.25">
      <c r="A71" s="405" t="s">
        <v>3183</v>
      </c>
      <c r="B71" s="406" t="s">
        <v>3268</v>
      </c>
      <c r="C71" s="406" t="s">
        <v>3288</v>
      </c>
      <c r="D71" s="407">
        <v>278</v>
      </c>
      <c r="E71" s="437" t="s">
        <v>2531</v>
      </c>
      <c r="F71" s="406" t="s">
        <v>3303</v>
      </c>
      <c r="G71" s="438">
        <v>18316</v>
      </c>
      <c r="H71" s="406" t="s">
        <v>3318</v>
      </c>
      <c r="I71" s="406" t="s">
        <v>2912</v>
      </c>
    </row>
    <row r="72" spans="1:9" s="120" customFormat="1" ht="38.25">
      <c r="A72" s="405" t="s">
        <v>3184</v>
      </c>
      <c r="B72" s="406" t="s">
        <v>3268</v>
      </c>
      <c r="C72" s="406" t="s">
        <v>3288</v>
      </c>
      <c r="D72" s="407">
        <v>278</v>
      </c>
      <c r="E72" s="437" t="s">
        <v>2531</v>
      </c>
      <c r="F72" s="406" t="s">
        <v>3303</v>
      </c>
      <c r="G72" s="438">
        <v>18316</v>
      </c>
      <c r="H72" s="406" t="s">
        <v>3318</v>
      </c>
      <c r="I72" s="406" t="s">
        <v>2912</v>
      </c>
    </row>
    <row r="73" spans="1:9" s="120" customFormat="1" ht="38.25">
      <c r="A73" s="405" t="s">
        <v>3185</v>
      </c>
      <c r="B73" s="406" t="s">
        <v>3268</v>
      </c>
      <c r="C73" s="406" t="s">
        <v>3288</v>
      </c>
      <c r="D73" s="407">
        <v>278</v>
      </c>
      <c r="E73" s="437" t="s">
        <v>2531</v>
      </c>
      <c r="F73" s="406" t="s">
        <v>3303</v>
      </c>
      <c r="G73" s="438">
        <v>18316</v>
      </c>
      <c r="H73" s="406" t="s">
        <v>3318</v>
      </c>
      <c r="I73" s="406" t="s">
        <v>2912</v>
      </c>
    </row>
    <row r="74" spans="1:9" s="120" customFormat="1" ht="38.25">
      <c r="A74" s="405" t="s">
        <v>3186</v>
      </c>
      <c r="B74" s="406" t="s">
        <v>3268</v>
      </c>
      <c r="C74" s="406" t="s">
        <v>3288</v>
      </c>
      <c r="D74" s="407">
        <v>278</v>
      </c>
      <c r="E74" s="437" t="s">
        <v>2531</v>
      </c>
      <c r="F74" s="406" t="s">
        <v>3303</v>
      </c>
      <c r="G74" s="438">
        <v>18316</v>
      </c>
      <c r="H74" s="406" t="s">
        <v>3318</v>
      </c>
      <c r="I74" s="406" t="s">
        <v>2912</v>
      </c>
    </row>
    <row r="75" spans="1:9" s="120" customFormat="1" ht="38.25">
      <c r="A75" s="405" t="s">
        <v>3187</v>
      </c>
      <c r="B75" s="406" t="s">
        <v>3268</v>
      </c>
      <c r="C75" s="406" t="s">
        <v>3288</v>
      </c>
      <c r="D75" s="407">
        <v>278</v>
      </c>
      <c r="E75" s="437" t="s">
        <v>2531</v>
      </c>
      <c r="F75" s="406" t="s">
        <v>3303</v>
      </c>
      <c r="G75" s="438">
        <v>18316</v>
      </c>
      <c r="H75" s="406" t="s">
        <v>3318</v>
      </c>
      <c r="I75" s="406" t="s">
        <v>2912</v>
      </c>
    </row>
    <row r="76" spans="1:9" s="120" customFormat="1" ht="38.25">
      <c r="A76" s="405" t="s">
        <v>3188</v>
      </c>
      <c r="B76" s="406" t="s">
        <v>3268</v>
      </c>
      <c r="C76" s="406" t="s">
        <v>3288</v>
      </c>
      <c r="D76" s="407">
        <v>278</v>
      </c>
      <c r="E76" s="437" t="s">
        <v>2531</v>
      </c>
      <c r="F76" s="406" t="s">
        <v>3303</v>
      </c>
      <c r="G76" s="438">
        <v>18316</v>
      </c>
      <c r="H76" s="406" t="s">
        <v>3318</v>
      </c>
      <c r="I76" s="406" t="s">
        <v>2912</v>
      </c>
    </row>
    <row r="77" spans="1:9" s="120" customFormat="1" ht="38.25">
      <c r="A77" s="405" t="s">
        <v>3189</v>
      </c>
      <c r="B77" s="406" t="s">
        <v>3268</v>
      </c>
      <c r="C77" s="406" t="s">
        <v>3288</v>
      </c>
      <c r="D77" s="407">
        <v>278</v>
      </c>
      <c r="E77" s="437" t="s">
        <v>2531</v>
      </c>
      <c r="F77" s="406" t="s">
        <v>3303</v>
      </c>
      <c r="G77" s="438">
        <v>18316</v>
      </c>
      <c r="H77" s="406" t="s">
        <v>3318</v>
      </c>
      <c r="I77" s="406" t="s">
        <v>2912</v>
      </c>
    </row>
    <row r="78" spans="1:9" s="120" customFormat="1" ht="38.25">
      <c r="A78" s="405" t="s">
        <v>3190</v>
      </c>
      <c r="B78" s="406" t="s">
        <v>3268</v>
      </c>
      <c r="C78" s="406" t="s">
        <v>3288</v>
      </c>
      <c r="D78" s="407">
        <v>278</v>
      </c>
      <c r="E78" s="437" t="s">
        <v>2531</v>
      </c>
      <c r="F78" s="406" t="s">
        <v>3303</v>
      </c>
      <c r="G78" s="438">
        <v>18316</v>
      </c>
      <c r="H78" s="406" t="s">
        <v>3318</v>
      </c>
      <c r="I78" s="406" t="s">
        <v>2912</v>
      </c>
    </row>
    <row r="79" spans="1:9" s="120" customFormat="1" ht="38.25">
      <c r="A79" s="405" t="s">
        <v>3191</v>
      </c>
      <c r="B79" s="406" t="s">
        <v>3268</v>
      </c>
      <c r="C79" s="406" t="s">
        <v>3288</v>
      </c>
      <c r="D79" s="407">
        <v>278</v>
      </c>
      <c r="E79" s="437" t="s">
        <v>2531</v>
      </c>
      <c r="F79" s="406" t="s">
        <v>3303</v>
      </c>
      <c r="G79" s="438">
        <v>18316</v>
      </c>
      <c r="H79" s="406" t="s">
        <v>3318</v>
      </c>
      <c r="I79" s="406" t="s">
        <v>2912</v>
      </c>
    </row>
    <row r="80" spans="1:9" s="120" customFormat="1" ht="38.25">
      <c r="A80" s="405" t="s">
        <v>3192</v>
      </c>
      <c r="B80" s="406" t="s">
        <v>3268</v>
      </c>
      <c r="C80" s="406" t="s">
        <v>3288</v>
      </c>
      <c r="D80" s="407">
        <v>278</v>
      </c>
      <c r="E80" s="437" t="s">
        <v>2531</v>
      </c>
      <c r="F80" s="406" t="s">
        <v>3303</v>
      </c>
      <c r="G80" s="438">
        <v>18316</v>
      </c>
      <c r="H80" s="406" t="s">
        <v>3318</v>
      </c>
      <c r="I80" s="406" t="s">
        <v>2912</v>
      </c>
    </row>
    <row r="81" spans="1:9" s="120" customFormat="1" ht="38.25">
      <c r="A81" s="405" t="s">
        <v>3193</v>
      </c>
      <c r="B81" s="406" t="s">
        <v>3269</v>
      </c>
      <c r="C81" s="406" t="s">
        <v>3288</v>
      </c>
      <c r="D81" s="407">
        <v>323</v>
      </c>
      <c r="E81" s="437" t="s">
        <v>2531</v>
      </c>
      <c r="F81" s="406" t="s">
        <v>3303</v>
      </c>
      <c r="G81" s="438">
        <v>18316</v>
      </c>
      <c r="H81" s="406" t="s">
        <v>3318</v>
      </c>
      <c r="I81" s="406" t="s">
        <v>2912</v>
      </c>
    </row>
    <row r="82" spans="1:9" s="120" customFormat="1" ht="38.25">
      <c r="A82" s="405" t="s">
        <v>3194</v>
      </c>
      <c r="B82" s="406" t="s">
        <v>3269</v>
      </c>
      <c r="C82" s="406" t="s">
        <v>3288</v>
      </c>
      <c r="D82" s="407">
        <v>323</v>
      </c>
      <c r="E82" s="437" t="s">
        <v>2531</v>
      </c>
      <c r="F82" s="406" t="s">
        <v>3303</v>
      </c>
      <c r="G82" s="438">
        <v>18316</v>
      </c>
      <c r="H82" s="406" t="s">
        <v>3318</v>
      </c>
      <c r="I82" s="406" t="s">
        <v>2912</v>
      </c>
    </row>
    <row r="83" spans="1:9" s="120" customFormat="1" ht="38.25">
      <c r="A83" s="405" t="s">
        <v>3195</v>
      </c>
      <c r="B83" s="406" t="s">
        <v>3269</v>
      </c>
      <c r="C83" s="406" t="s">
        <v>3288</v>
      </c>
      <c r="D83" s="407">
        <v>323</v>
      </c>
      <c r="E83" s="437" t="s">
        <v>2531</v>
      </c>
      <c r="F83" s="406" t="s">
        <v>3303</v>
      </c>
      <c r="G83" s="438">
        <v>18316</v>
      </c>
      <c r="H83" s="406" t="s">
        <v>3318</v>
      </c>
      <c r="I83" s="406" t="s">
        <v>2912</v>
      </c>
    </row>
    <row r="84" spans="1:9" s="120" customFormat="1" ht="38.25">
      <c r="A84" s="405" t="s">
        <v>3196</v>
      </c>
      <c r="B84" s="406" t="s">
        <v>3269</v>
      </c>
      <c r="C84" s="406" t="s">
        <v>3288</v>
      </c>
      <c r="D84" s="407">
        <v>323</v>
      </c>
      <c r="E84" s="437" t="s">
        <v>2531</v>
      </c>
      <c r="F84" s="406" t="s">
        <v>3303</v>
      </c>
      <c r="G84" s="438">
        <v>18316</v>
      </c>
      <c r="H84" s="406" t="s">
        <v>3318</v>
      </c>
      <c r="I84" s="406" t="s">
        <v>2912</v>
      </c>
    </row>
    <row r="85" spans="1:9" s="120" customFormat="1" ht="38.25">
      <c r="A85" s="405" t="s">
        <v>3197</v>
      </c>
      <c r="B85" s="406" t="s">
        <v>3269</v>
      </c>
      <c r="C85" s="406" t="s">
        <v>3288</v>
      </c>
      <c r="D85" s="407">
        <v>323</v>
      </c>
      <c r="E85" s="437" t="s">
        <v>2531</v>
      </c>
      <c r="F85" s="406" t="s">
        <v>3303</v>
      </c>
      <c r="G85" s="438">
        <v>18316</v>
      </c>
      <c r="H85" s="406" t="s">
        <v>3318</v>
      </c>
      <c r="I85" s="406" t="s">
        <v>2912</v>
      </c>
    </row>
    <row r="86" spans="1:9" s="120" customFormat="1" ht="38.25">
      <c r="A86" s="405" t="s">
        <v>3198</v>
      </c>
      <c r="B86" s="406" t="s">
        <v>3269</v>
      </c>
      <c r="C86" s="406" t="s">
        <v>3288</v>
      </c>
      <c r="D86" s="407">
        <v>323</v>
      </c>
      <c r="E86" s="437" t="s">
        <v>2531</v>
      </c>
      <c r="F86" s="406" t="s">
        <v>3303</v>
      </c>
      <c r="G86" s="438">
        <v>18316</v>
      </c>
      <c r="H86" s="406" t="s">
        <v>3318</v>
      </c>
      <c r="I86" s="406" t="s">
        <v>2912</v>
      </c>
    </row>
    <row r="87" spans="1:9" s="120" customFormat="1" ht="38.25">
      <c r="A87" s="405" t="s">
        <v>3199</v>
      </c>
      <c r="B87" s="406" t="s">
        <v>3269</v>
      </c>
      <c r="C87" s="406" t="s">
        <v>3288</v>
      </c>
      <c r="D87" s="407">
        <v>323</v>
      </c>
      <c r="E87" s="437" t="s">
        <v>2531</v>
      </c>
      <c r="F87" s="406" t="s">
        <v>3303</v>
      </c>
      <c r="G87" s="438">
        <v>18316</v>
      </c>
      <c r="H87" s="406" t="s">
        <v>3318</v>
      </c>
      <c r="I87" s="406" t="s">
        <v>2912</v>
      </c>
    </row>
    <row r="88" spans="1:9" s="120" customFormat="1" ht="38.25">
      <c r="A88" s="405" t="s">
        <v>3200</v>
      </c>
      <c r="B88" s="406" t="s">
        <v>3269</v>
      </c>
      <c r="C88" s="406" t="s">
        <v>3288</v>
      </c>
      <c r="D88" s="407">
        <v>323</v>
      </c>
      <c r="E88" s="437" t="s">
        <v>2531</v>
      </c>
      <c r="F88" s="406" t="s">
        <v>3303</v>
      </c>
      <c r="G88" s="438">
        <v>18316</v>
      </c>
      <c r="H88" s="406" t="s">
        <v>3318</v>
      </c>
      <c r="I88" s="406" t="s">
        <v>2912</v>
      </c>
    </row>
    <row r="89" spans="1:9" s="120" customFormat="1" ht="38.25">
      <c r="A89" s="405" t="s">
        <v>3201</v>
      </c>
      <c r="B89" s="406" t="s">
        <v>3269</v>
      </c>
      <c r="C89" s="406" t="s">
        <v>3288</v>
      </c>
      <c r="D89" s="407">
        <v>323</v>
      </c>
      <c r="E89" s="437" t="s">
        <v>2531</v>
      </c>
      <c r="F89" s="406" t="s">
        <v>3303</v>
      </c>
      <c r="G89" s="438">
        <v>18316</v>
      </c>
      <c r="H89" s="406" t="s">
        <v>3318</v>
      </c>
      <c r="I89" s="406" t="s">
        <v>2912</v>
      </c>
    </row>
    <row r="90" spans="1:9" s="120" customFormat="1" ht="38.25">
      <c r="A90" s="405" t="s">
        <v>3202</v>
      </c>
      <c r="B90" s="406" t="s">
        <v>3269</v>
      </c>
      <c r="C90" s="406" t="s">
        <v>3288</v>
      </c>
      <c r="D90" s="407">
        <v>323</v>
      </c>
      <c r="E90" s="437" t="s">
        <v>2531</v>
      </c>
      <c r="F90" s="406" t="s">
        <v>3303</v>
      </c>
      <c r="G90" s="438">
        <v>18316</v>
      </c>
      <c r="H90" s="406" t="s">
        <v>3318</v>
      </c>
      <c r="I90" s="406" t="s">
        <v>2912</v>
      </c>
    </row>
    <row r="91" spans="1:9" s="120" customFormat="1" ht="38.25">
      <c r="A91" s="405" t="s">
        <v>3203</v>
      </c>
      <c r="B91" s="406" t="s">
        <v>3269</v>
      </c>
      <c r="C91" s="406" t="s">
        <v>3288</v>
      </c>
      <c r="D91" s="407">
        <v>323</v>
      </c>
      <c r="E91" s="437" t="s">
        <v>2531</v>
      </c>
      <c r="F91" s="406" t="s">
        <v>3303</v>
      </c>
      <c r="G91" s="438">
        <v>18316</v>
      </c>
      <c r="H91" s="406" t="s">
        <v>3318</v>
      </c>
      <c r="I91" s="406" t="s">
        <v>2912</v>
      </c>
    </row>
    <row r="92" spans="1:9" s="120" customFormat="1" ht="38.25">
      <c r="A92" s="405" t="s">
        <v>3204</v>
      </c>
      <c r="B92" s="406" t="s">
        <v>3269</v>
      </c>
      <c r="C92" s="406" t="s">
        <v>3288</v>
      </c>
      <c r="D92" s="407">
        <v>323</v>
      </c>
      <c r="E92" s="437" t="s">
        <v>2531</v>
      </c>
      <c r="F92" s="406" t="s">
        <v>3303</v>
      </c>
      <c r="G92" s="438">
        <v>18316</v>
      </c>
      <c r="H92" s="406" t="s">
        <v>3318</v>
      </c>
      <c r="I92" s="406" t="s">
        <v>2912</v>
      </c>
    </row>
    <row r="93" spans="1:9" s="120" customFormat="1" ht="38.25">
      <c r="A93" s="405" t="s">
        <v>3205</v>
      </c>
      <c r="B93" s="406" t="s">
        <v>3269</v>
      </c>
      <c r="C93" s="406" t="s">
        <v>3288</v>
      </c>
      <c r="D93" s="407">
        <v>323</v>
      </c>
      <c r="E93" s="437" t="s">
        <v>2531</v>
      </c>
      <c r="F93" s="406" t="s">
        <v>3303</v>
      </c>
      <c r="G93" s="438">
        <v>18316</v>
      </c>
      <c r="H93" s="406" t="s">
        <v>3318</v>
      </c>
      <c r="I93" s="406" t="s">
        <v>2912</v>
      </c>
    </row>
    <row r="94" spans="1:9" s="120" customFormat="1" ht="38.25">
      <c r="A94" s="405" t="s">
        <v>3206</v>
      </c>
      <c r="B94" s="406" t="s">
        <v>3269</v>
      </c>
      <c r="C94" s="406" t="s">
        <v>3288</v>
      </c>
      <c r="D94" s="407">
        <v>323</v>
      </c>
      <c r="E94" s="437" t="s">
        <v>2531</v>
      </c>
      <c r="F94" s="406" t="s">
        <v>3303</v>
      </c>
      <c r="G94" s="438">
        <v>18316</v>
      </c>
      <c r="H94" s="406" t="s">
        <v>3318</v>
      </c>
      <c r="I94" s="406" t="s">
        <v>2912</v>
      </c>
    </row>
    <row r="95" spans="1:9" s="120" customFormat="1" ht="38.25">
      <c r="A95" s="405" t="s">
        <v>3207</v>
      </c>
      <c r="B95" s="406" t="s">
        <v>3269</v>
      </c>
      <c r="C95" s="406" t="s">
        <v>3288</v>
      </c>
      <c r="D95" s="407">
        <v>323</v>
      </c>
      <c r="E95" s="437" t="s">
        <v>2531</v>
      </c>
      <c r="F95" s="406" t="s">
        <v>3303</v>
      </c>
      <c r="G95" s="438">
        <v>18316</v>
      </c>
      <c r="H95" s="406" t="s">
        <v>3318</v>
      </c>
      <c r="I95" s="406" t="s">
        <v>2912</v>
      </c>
    </row>
    <row r="96" spans="1:9" s="120" customFormat="1" ht="38.25">
      <c r="A96" s="405" t="s">
        <v>3208</v>
      </c>
      <c r="B96" s="406" t="s">
        <v>3269</v>
      </c>
      <c r="C96" s="406" t="s">
        <v>3288</v>
      </c>
      <c r="D96" s="407">
        <v>323</v>
      </c>
      <c r="E96" s="437" t="s">
        <v>2531</v>
      </c>
      <c r="F96" s="406" t="s">
        <v>3303</v>
      </c>
      <c r="G96" s="438">
        <v>18316</v>
      </c>
      <c r="H96" s="406" t="s">
        <v>3318</v>
      </c>
      <c r="I96" s="406" t="s">
        <v>2912</v>
      </c>
    </row>
    <row r="97" spans="1:9" s="120" customFormat="1" ht="38.25">
      <c r="A97" s="405" t="s">
        <v>3209</v>
      </c>
      <c r="B97" s="406" t="s">
        <v>3269</v>
      </c>
      <c r="C97" s="406" t="s">
        <v>3288</v>
      </c>
      <c r="D97" s="407">
        <v>323</v>
      </c>
      <c r="E97" s="437" t="s">
        <v>2531</v>
      </c>
      <c r="F97" s="406" t="s">
        <v>3303</v>
      </c>
      <c r="G97" s="438">
        <v>18316</v>
      </c>
      <c r="H97" s="406" t="s">
        <v>3318</v>
      </c>
      <c r="I97" s="406" t="s">
        <v>2912</v>
      </c>
    </row>
    <row r="98" spans="1:9" s="120" customFormat="1" ht="38.25">
      <c r="A98" s="405" t="s">
        <v>3210</v>
      </c>
      <c r="B98" s="406" t="s">
        <v>3269</v>
      </c>
      <c r="C98" s="406" t="s">
        <v>3288</v>
      </c>
      <c r="D98" s="407">
        <v>323</v>
      </c>
      <c r="E98" s="437" t="s">
        <v>2531</v>
      </c>
      <c r="F98" s="406" t="s">
        <v>3303</v>
      </c>
      <c r="G98" s="438">
        <v>18316</v>
      </c>
      <c r="H98" s="406" t="s">
        <v>3318</v>
      </c>
      <c r="I98" s="406" t="s">
        <v>2912</v>
      </c>
    </row>
    <row r="99" spans="1:9" s="120" customFormat="1" ht="38.25">
      <c r="A99" s="405" t="s">
        <v>3211</v>
      </c>
      <c r="B99" s="406" t="s">
        <v>3269</v>
      </c>
      <c r="C99" s="406" t="s">
        <v>3288</v>
      </c>
      <c r="D99" s="407">
        <v>323</v>
      </c>
      <c r="E99" s="437" t="s">
        <v>2531</v>
      </c>
      <c r="F99" s="406" t="s">
        <v>3303</v>
      </c>
      <c r="G99" s="438">
        <v>18316</v>
      </c>
      <c r="H99" s="406" t="s">
        <v>3318</v>
      </c>
      <c r="I99" s="406" t="s">
        <v>2912</v>
      </c>
    </row>
    <row r="100" spans="1:9" s="120" customFormat="1" ht="38.25">
      <c r="A100" s="405" t="s">
        <v>3212</v>
      </c>
      <c r="B100" s="406" t="s">
        <v>3269</v>
      </c>
      <c r="C100" s="406" t="s">
        <v>3288</v>
      </c>
      <c r="D100" s="407">
        <v>323</v>
      </c>
      <c r="E100" s="437" t="s">
        <v>2531</v>
      </c>
      <c r="F100" s="406" t="s">
        <v>3303</v>
      </c>
      <c r="G100" s="438">
        <v>18316</v>
      </c>
      <c r="H100" s="406" t="s">
        <v>3318</v>
      </c>
      <c r="I100" s="406" t="s">
        <v>2912</v>
      </c>
    </row>
    <row r="101" spans="1:9" s="120" customFormat="1" ht="38.25">
      <c r="A101" s="405" t="s">
        <v>3213</v>
      </c>
      <c r="B101" s="406" t="s">
        <v>3269</v>
      </c>
      <c r="C101" s="406" t="s">
        <v>3288</v>
      </c>
      <c r="D101" s="407">
        <v>323</v>
      </c>
      <c r="E101" s="437" t="s">
        <v>2531</v>
      </c>
      <c r="F101" s="406" t="s">
        <v>3303</v>
      </c>
      <c r="G101" s="438">
        <v>18316</v>
      </c>
      <c r="H101" s="406" t="s">
        <v>3318</v>
      </c>
      <c r="I101" s="406" t="s">
        <v>2912</v>
      </c>
    </row>
    <row r="102" spans="1:9" s="120" customFormat="1" ht="38.25">
      <c r="A102" s="405" t="s">
        <v>3214</v>
      </c>
      <c r="B102" s="406" t="s">
        <v>3269</v>
      </c>
      <c r="C102" s="406" t="s">
        <v>3288</v>
      </c>
      <c r="D102" s="407">
        <v>323</v>
      </c>
      <c r="E102" s="437" t="s">
        <v>2531</v>
      </c>
      <c r="F102" s="406" t="s">
        <v>3303</v>
      </c>
      <c r="G102" s="438">
        <v>18316</v>
      </c>
      <c r="H102" s="406" t="s">
        <v>3318</v>
      </c>
      <c r="I102" s="406" t="s">
        <v>2912</v>
      </c>
    </row>
    <row r="103" spans="1:9" s="120" customFormat="1" ht="38.25">
      <c r="A103" s="405" t="s">
        <v>3215</v>
      </c>
      <c r="B103" s="406" t="s">
        <v>3269</v>
      </c>
      <c r="C103" s="406" t="s">
        <v>3288</v>
      </c>
      <c r="D103" s="407">
        <v>323</v>
      </c>
      <c r="E103" s="437" t="s">
        <v>2531</v>
      </c>
      <c r="F103" s="406" t="s">
        <v>3303</v>
      </c>
      <c r="G103" s="438">
        <v>18316</v>
      </c>
      <c r="H103" s="406" t="s">
        <v>3318</v>
      </c>
      <c r="I103" s="406" t="s">
        <v>2912</v>
      </c>
    </row>
    <row r="104" spans="1:9" s="120" customFormat="1" ht="38.25">
      <c r="A104" s="405" t="s">
        <v>3216</v>
      </c>
      <c r="B104" s="406" t="s">
        <v>3269</v>
      </c>
      <c r="C104" s="406" t="s">
        <v>3288</v>
      </c>
      <c r="D104" s="407">
        <v>323</v>
      </c>
      <c r="E104" s="437" t="s">
        <v>2531</v>
      </c>
      <c r="F104" s="406" t="s">
        <v>3303</v>
      </c>
      <c r="G104" s="438">
        <v>18316</v>
      </c>
      <c r="H104" s="406" t="s">
        <v>3318</v>
      </c>
      <c r="I104" s="406" t="s">
        <v>2912</v>
      </c>
    </row>
    <row r="105" spans="1:9" s="120" customFormat="1" ht="38.25">
      <c r="A105" s="405" t="s">
        <v>3217</v>
      </c>
      <c r="B105" s="406" t="s">
        <v>3269</v>
      </c>
      <c r="C105" s="406" t="s">
        <v>3288</v>
      </c>
      <c r="D105" s="407">
        <v>323</v>
      </c>
      <c r="E105" s="437" t="s">
        <v>2531</v>
      </c>
      <c r="F105" s="406" t="s">
        <v>3303</v>
      </c>
      <c r="G105" s="438">
        <v>18316</v>
      </c>
      <c r="H105" s="406" t="s">
        <v>3318</v>
      </c>
      <c r="I105" s="406" t="s">
        <v>2912</v>
      </c>
    </row>
    <row r="106" spans="1:9" s="120" customFormat="1" ht="63.75">
      <c r="A106" s="405" t="s">
        <v>3218</v>
      </c>
      <c r="B106" s="406" t="s">
        <v>3270</v>
      </c>
      <c r="C106" s="406" t="s">
        <v>3288</v>
      </c>
      <c r="D106" s="407">
        <v>1495.62</v>
      </c>
      <c r="E106" s="437" t="s">
        <v>2534</v>
      </c>
      <c r="F106" s="406" t="s">
        <v>2060</v>
      </c>
      <c r="G106" s="438">
        <v>2865</v>
      </c>
      <c r="H106" s="406" t="s">
        <v>3319</v>
      </c>
      <c r="I106" s="406" t="s">
        <v>3338</v>
      </c>
    </row>
    <row r="107" spans="1:9" s="120" customFormat="1" ht="63.75">
      <c r="A107" s="405" t="s">
        <v>3219</v>
      </c>
      <c r="B107" s="406" t="s">
        <v>3270</v>
      </c>
      <c r="C107" s="406" t="s">
        <v>3288</v>
      </c>
      <c r="D107" s="407">
        <v>1495.62</v>
      </c>
      <c r="E107" s="437" t="s">
        <v>2534</v>
      </c>
      <c r="F107" s="406" t="s">
        <v>2060</v>
      </c>
      <c r="G107" s="438">
        <v>2865</v>
      </c>
      <c r="H107" s="406" t="s">
        <v>3319</v>
      </c>
      <c r="I107" s="406" t="s">
        <v>3338</v>
      </c>
    </row>
    <row r="108" spans="1:9" s="120" customFormat="1" ht="63.75">
      <c r="A108" s="405" t="s">
        <v>3220</v>
      </c>
      <c r="B108" s="406" t="s">
        <v>3270</v>
      </c>
      <c r="C108" s="406" t="s">
        <v>3288</v>
      </c>
      <c r="D108" s="407">
        <v>2729.16</v>
      </c>
      <c r="E108" s="437" t="s">
        <v>2534</v>
      </c>
      <c r="F108" s="406" t="s">
        <v>2060</v>
      </c>
      <c r="G108" s="438">
        <v>2865</v>
      </c>
      <c r="H108" s="406" t="s">
        <v>3319</v>
      </c>
      <c r="I108" s="406" t="s">
        <v>3338</v>
      </c>
    </row>
    <row r="109" spans="1:9" s="120" customFormat="1" ht="63.75">
      <c r="A109" s="405" t="s">
        <v>3221</v>
      </c>
      <c r="B109" s="406" t="s">
        <v>3271</v>
      </c>
      <c r="C109" s="406" t="s">
        <v>3288</v>
      </c>
      <c r="D109" s="407">
        <v>1678.92</v>
      </c>
      <c r="E109" s="437" t="s">
        <v>2534</v>
      </c>
      <c r="F109" s="406" t="s">
        <v>2060</v>
      </c>
      <c r="G109" s="438">
        <v>2865</v>
      </c>
      <c r="H109" s="406" t="s">
        <v>3319</v>
      </c>
      <c r="I109" s="406" t="s">
        <v>3338</v>
      </c>
    </row>
    <row r="110" spans="1:9" s="120" customFormat="1" ht="63.75">
      <c r="A110" s="405" t="s">
        <v>3222</v>
      </c>
      <c r="B110" s="406" t="s">
        <v>3271</v>
      </c>
      <c r="C110" s="406" t="s">
        <v>3288</v>
      </c>
      <c r="D110" s="407">
        <v>1678.92</v>
      </c>
      <c r="E110" s="437" t="s">
        <v>2534</v>
      </c>
      <c r="F110" s="406" t="s">
        <v>2060</v>
      </c>
      <c r="G110" s="438">
        <v>2865</v>
      </c>
      <c r="H110" s="406" t="s">
        <v>3319</v>
      </c>
      <c r="I110" s="406" t="s">
        <v>3338</v>
      </c>
    </row>
    <row r="111" spans="1:9" s="120" customFormat="1" ht="63.75">
      <c r="A111" s="405" t="s">
        <v>3223</v>
      </c>
      <c r="B111" s="406" t="s">
        <v>3271</v>
      </c>
      <c r="C111" s="406" t="s">
        <v>3288</v>
      </c>
      <c r="D111" s="407">
        <v>1678.92</v>
      </c>
      <c r="E111" s="437" t="s">
        <v>2534</v>
      </c>
      <c r="F111" s="406" t="s">
        <v>2060</v>
      </c>
      <c r="G111" s="438">
        <v>2865</v>
      </c>
      <c r="H111" s="406" t="s">
        <v>3319</v>
      </c>
      <c r="I111" s="406" t="s">
        <v>3338</v>
      </c>
    </row>
    <row r="112" spans="1:9" s="120" customFormat="1" ht="63.75">
      <c r="A112" s="405" t="s">
        <v>3224</v>
      </c>
      <c r="B112" s="406" t="s">
        <v>3271</v>
      </c>
      <c r="C112" s="406" t="s">
        <v>3288</v>
      </c>
      <c r="D112" s="407">
        <v>1678.92</v>
      </c>
      <c r="E112" s="437" t="s">
        <v>2534</v>
      </c>
      <c r="F112" s="406" t="s">
        <v>2060</v>
      </c>
      <c r="G112" s="438">
        <v>2865</v>
      </c>
      <c r="H112" s="406" t="s">
        <v>3319</v>
      </c>
      <c r="I112" s="406" t="s">
        <v>3338</v>
      </c>
    </row>
    <row r="113" spans="1:9" s="120" customFormat="1" ht="63.75">
      <c r="A113" s="405" t="s">
        <v>3225</v>
      </c>
      <c r="B113" s="406" t="s">
        <v>3272</v>
      </c>
      <c r="C113" s="406" t="s">
        <v>3288</v>
      </c>
      <c r="D113" s="407">
        <v>1762.8</v>
      </c>
      <c r="E113" s="437" t="s">
        <v>2534</v>
      </c>
      <c r="F113" s="406" t="s">
        <v>2060</v>
      </c>
      <c r="G113" s="438">
        <v>2865</v>
      </c>
      <c r="H113" s="406" t="s">
        <v>3320</v>
      </c>
      <c r="I113" s="406" t="s">
        <v>3338</v>
      </c>
    </row>
    <row r="114" spans="1:9" s="120" customFormat="1" ht="63.75">
      <c r="A114" s="405" t="s">
        <v>3226</v>
      </c>
      <c r="B114" s="406" t="s">
        <v>3272</v>
      </c>
      <c r="C114" s="406" t="s">
        <v>3288</v>
      </c>
      <c r="D114" s="407">
        <v>1762.8</v>
      </c>
      <c r="E114" s="437" t="s">
        <v>2534</v>
      </c>
      <c r="F114" s="406" t="s">
        <v>2060</v>
      </c>
      <c r="G114" s="438">
        <v>2865</v>
      </c>
      <c r="H114" s="406" t="s">
        <v>3320</v>
      </c>
      <c r="I114" s="406" t="s">
        <v>3338</v>
      </c>
    </row>
    <row r="115" spans="1:9" s="120" customFormat="1" ht="63.75">
      <c r="A115" s="405" t="s">
        <v>3227</v>
      </c>
      <c r="B115" s="406" t="s">
        <v>3272</v>
      </c>
      <c r="C115" s="406" t="s">
        <v>3288</v>
      </c>
      <c r="D115" s="407">
        <v>1762.8</v>
      </c>
      <c r="E115" s="437" t="s">
        <v>2534</v>
      </c>
      <c r="F115" s="406" t="s">
        <v>2060</v>
      </c>
      <c r="G115" s="438">
        <v>2865</v>
      </c>
      <c r="H115" s="406" t="s">
        <v>3320</v>
      </c>
      <c r="I115" s="406" t="s">
        <v>3338</v>
      </c>
    </row>
    <row r="116" spans="1:9" s="120" customFormat="1" ht="63.75">
      <c r="A116" s="405" t="s">
        <v>3228</v>
      </c>
      <c r="B116" s="406" t="s">
        <v>3272</v>
      </c>
      <c r="C116" s="406" t="s">
        <v>3288</v>
      </c>
      <c r="D116" s="407">
        <v>1762.8</v>
      </c>
      <c r="E116" s="437" t="s">
        <v>2534</v>
      </c>
      <c r="F116" s="406" t="s">
        <v>2060</v>
      </c>
      <c r="G116" s="438">
        <v>2865</v>
      </c>
      <c r="H116" s="406" t="s">
        <v>3320</v>
      </c>
      <c r="I116" s="406" t="s">
        <v>3338</v>
      </c>
    </row>
    <row r="117" spans="1:9" s="120" customFormat="1" ht="63.75">
      <c r="A117" s="405" t="s">
        <v>3229</v>
      </c>
      <c r="B117" s="406" t="s">
        <v>3272</v>
      </c>
      <c r="C117" s="406" t="s">
        <v>3288</v>
      </c>
      <c r="D117" s="407">
        <v>1762.8</v>
      </c>
      <c r="E117" s="437" t="s">
        <v>2534</v>
      </c>
      <c r="F117" s="406" t="s">
        <v>2060</v>
      </c>
      <c r="G117" s="438">
        <v>2865</v>
      </c>
      <c r="H117" s="406" t="s">
        <v>3320</v>
      </c>
      <c r="I117" s="406" t="s">
        <v>3338</v>
      </c>
    </row>
    <row r="118" spans="1:9" s="120" customFormat="1" ht="63.75">
      <c r="A118" s="405" t="s">
        <v>3230</v>
      </c>
      <c r="B118" s="406" t="s">
        <v>3272</v>
      </c>
      <c r="C118" s="406" t="s">
        <v>3288</v>
      </c>
      <c r="D118" s="407">
        <v>1762.8</v>
      </c>
      <c r="E118" s="437" t="s">
        <v>2534</v>
      </c>
      <c r="F118" s="406" t="s">
        <v>2060</v>
      </c>
      <c r="G118" s="438">
        <v>2865</v>
      </c>
      <c r="H118" s="406" t="s">
        <v>3320</v>
      </c>
      <c r="I118" s="406" t="s">
        <v>3338</v>
      </c>
    </row>
    <row r="119" spans="1:9" s="120" customFormat="1" ht="25.5">
      <c r="A119" s="405" t="s">
        <v>3231</v>
      </c>
      <c r="B119" s="406" t="s">
        <v>3273</v>
      </c>
      <c r="C119" s="406" t="s">
        <v>3288</v>
      </c>
      <c r="D119" s="407">
        <v>3635.91</v>
      </c>
      <c r="E119" s="437" t="s">
        <v>2535</v>
      </c>
      <c r="F119" s="406" t="s">
        <v>3348</v>
      </c>
      <c r="G119" s="438">
        <v>27911930</v>
      </c>
      <c r="H119" s="406" t="s">
        <v>3321</v>
      </c>
      <c r="I119" s="406" t="s">
        <v>3273</v>
      </c>
    </row>
    <row r="120" spans="1:9" s="120" customFormat="1" ht="38.25">
      <c r="A120" s="405" t="s">
        <v>3232</v>
      </c>
      <c r="B120" s="406" t="s">
        <v>3274</v>
      </c>
      <c r="C120" s="406" t="s">
        <v>3288</v>
      </c>
      <c r="D120" s="407">
        <v>1298</v>
      </c>
      <c r="E120" s="437" t="s">
        <v>2537</v>
      </c>
      <c r="F120" s="406" t="s">
        <v>2060</v>
      </c>
      <c r="G120" s="438">
        <v>2870</v>
      </c>
      <c r="H120" s="406" t="s">
        <v>3319</v>
      </c>
      <c r="I120" s="406" t="s">
        <v>3274</v>
      </c>
    </row>
    <row r="121" spans="1:9" s="120" customFormat="1" ht="38.25">
      <c r="A121" s="405" t="s">
        <v>3233</v>
      </c>
      <c r="B121" s="406" t="s">
        <v>3274</v>
      </c>
      <c r="C121" s="406" t="s">
        <v>3288</v>
      </c>
      <c r="D121" s="407">
        <v>1298</v>
      </c>
      <c r="E121" s="437" t="s">
        <v>2537</v>
      </c>
      <c r="F121" s="406" t="s">
        <v>2060</v>
      </c>
      <c r="G121" s="438">
        <v>2870</v>
      </c>
      <c r="H121" s="406" t="s">
        <v>3319</v>
      </c>
      <c r="I121" s="406" t="s">
        <v>3274</v>
      </c>
    </row>
    <row r="122" spans="1:9" s="120" customFormat="1" ht="38.25">
      <c r="A122" s="405" t="s">
        <v>3234</v>
      </c>
      <c r="B122" s="406" t="s">
        <v>3275</v>
      </c>
      <c r="C122" s="406" t="s">
        <v>3288</v>
      </c>
      <c r="D122" s="407">
        <v>2074.8000000000002</v>
      </c>
      <c r="E122" s="437" t="s">
        <v>2537</v>
      </c>
      <c r="F122" s="406" t="s">
        <v>2060</v>
      </c>
      <c r="G122" s="438">
        <v>2870</v>
      </c>
      <c r="H122" s="406" t="s">
        <v>3319</v>
      </c>
      <c r="I122" s="406" t="s">
        <v>3275</v>
      </c>
    </row>
    <row r="123" spans="1:9" s="120" customFormat="1" ht="38.25">
      <c r="A123" s="405" t="s">
        <v>3235</v>
      </c>
      <c r="B123" s="406" t="s">
        <v>3275</v>
      </c>
      <c r="C123" s="406" t="s">
        <v>3288</v>
      </c>
      <c r="D123" s="407">
        <v>2074.8000000000002</v>
      </c>
      <c r="E123" s="437" t="s">
        <v>2537</v>
      </c>
      <c r="F123" s="406" t="s">
        <v>2060</v>
      </c>
      <c r="G123" s="438">
        <v>2870</v>
      </c>
      <c r="H123" s="406" t="s">
        <v>3319</v>
      </c>
      <c r="I123" s="406" t="s">
        <v>3275</v>
      </c>
    </row>
    <row r="124" spans="1:9" s="120" customFormat="1" ht="63.75">
      <c r="A124" s="405" t="s">
        <v>3236</v>
      </c>
      <c r="B124" s="406" t="s">
        <v>3276</v>
      </c>
      <c r="C124" s="406" t="s">
        <v>3290</v>
      </c>
      <c r="D124" s="407">
        <v>799</v>
      </c>
      <c r="E124" s="437" t="s">
        <v>2537</v>
      </c>
      <c r="F124" s="406" t="s">
        <v>3304</v>
      </c>
      <c r="G124" s="438">
        <v>512</v>
      </c>
      <c r="H124" s="406" t="s">
        <v>3322</v>
      </c>
      <c r="I124" s="406" t="s">
        <v>3339</v>
      </c>
    </row>
    <row r="125" spans="1:9" s="120" customFormat="1" ht="51">
      <c r="A125" s="405" t="s">
        <v>3237</v>
      </c>
      <c r="B125" s="406" t="s">
        <v>3277</v>
      </c>
      <c r="C125" s="406" t="s">
        <v>3288</v>
      </c>
      <c r="D125" s="407">
        <v>703</v>
      </c>
      <c r="E125" s="437" t="s">
        <v>2539</v>
      </c>
      <c r="F125" s="406" t="s">
        <v>3305</v>
      </c>
      <c r="G125" s="438">
        <v>1271</v>
      </c>
      <c r="H125" s="406" t="s">
        <v>3323</v>
      </c>
      <c r="I125" s="406" t="s">
        <v>3340</v>
      </c>
    </row>
    <row r="126" spans="1:9" s="120" customFormat="1" ht="51">
      <c r="A126" s="405" t="s">
        <v>3238</v>
      </c>
      <c r="B126" s="406" t="s">
        <v>3277</v>
      </c>
      <c r="C126" s="406" t="s">
        <v>3288</v>
      </c>
      <c r="D126" s="407">
        <v>703</v>
      </c>
      <c r="E126" s="437" t="s">
        <v>2539</v>
      </c>
      <c r="F126" s="406" t="s">
        <v>3305</v>
      </c>
      <c r="G126" s="438">
        <v>1271</v>
      </c>
      <c r="H126" s="406" t="s">
        <v>3323</v>
      </c>
      <c r="I126" s="406" t="s">
        <v>3340</v>
      </c>
    </row>
    <row r="127" spans="1:9" s="120" customFormat="1" ht="51">
      <c r="A127" s="405" t="s">
        <v>3239</v>
      </c>
      <c r="B127" s="406" t="s">
        <v>3277</v>
      </c>
      <c r="C127" s="406" t="s">
        <v>3288</v>
      </c>
      <c r="D127" s="407">
        <v>703</v>
      </c>
      <c r="E127" s="437" t="s">
        <v>2539</v>
      </c>
      <c r="F127" s="406" t="s">
        <v>3305</v>
      </c>
      <c r="G127" s="438">
        <v>1271</v>
      </c>
      <c r="H127" s="406" t="s">
        <v>3323</v>
      </c>
      <c r="I127" s="406" t="s">
        <v>3340</v>
      </c>
    </row>
    <row r="128" spans="1:9" s="120" customFormat="1" ht="51">
      <c r="A128" s="405" t="s">
        <v>3240</v>
      </c>
      <c r="B128" s="406" t="s">
        <v>3277</v>
      </c>
      <c r="C128" s="406" t="s">
        <v>3288</v>
      </c>
      <c r="D128" s="407">
        <v>703</v>
      </c>
      <c r="E128" s="437" t="s">
        <v>2539</v>
      </c>
      <c r="F128" s="406" t="s">
        <v>3305</v>
      </c>
      <c r="G128" s="438">
        <v>1271</v>
      </c>
      <c r="H128" s="406" t="s">
        <v>3323</v>
      </c>
      <c r="I128" s="406" t="s">
        <v>3340</v>
      </c>
    </row>
    <row r="129" spans="1:9" s="120" customFormat="1" ht="51">
      <c r="A129" s="405" t="s">
        <v>3241</v>
      </c>
      <c r="B129" s="406" t="s">
        <v>3277</v>
      </c>
      <c r="C129" s="406" t="s">
        <v>3288</v>
      </c>
      <c r="D129" s="407">
        <v>703</v>
      </c>
      <c r="E129" s="437" t="s">
        <v>2539</v>
      </c>
      <c r="F129" s="406" t="s">
        <v>3305</v>
      </c>
      <c r="G129" s="438">
        <v>1271</v>
      </c>
      <c r="H129" s="406" t="s">
        <v>3323</v>
      </c>
      <c r="I129" s="406" t="s">
        <v>3340</v>
      </c>
    </row>
    <row r="130" spans="1:9" s="120" customFormat="1" ht="51">
      <c r="A130" s="405" t="s">
        <v>3242</v>
      </c>
      <c r="B130" s="406" t="s">
        <v>3277</v>
      </c>
      <c r="C130" s="406" t="s">
        <v>3288</v>
      </c>
      <c r="D130" s="407">
        <v>703</v>
      </c>
      <c r="E130" s="437" t="s">
        <v>2539</v>
      </c>
      <c r="F130" s="406" t="s">
        <v>3305</v>
      </c>
      <c r="G130" s="438">
        <v>1271</v>
      </c>
      <c r="H130" s="406" t="s">
        <v>3323</v>
      </c>
      <c r="I130" s="406" t="s">
        <v>3340</v>
      </c>
    </row>
    <row r="131" spans="1:9" s="120" customFormat="1" ht="51">
      <c r="A131" s="405" t="s">
        <v>3243</v>
      </c>
      <c r="B131" s="406" t="s">
        <v>3277</v>
      </c>
      <c r="C131" s="406" t="s">
        <v>3288</v>
      </c>
      <c r="D131" s="407">
        <v>703</v>
      </c>
      <c r="E131" s="437" t="s">
        <v>2539</v>
      </c>
      <c r="F131" s="406" t="s">
        <v>3305</v>
      </c>
      <c r="G131" s="438">
        <v>1271</v>
      </c>
      <c r="H131" s="406" t="s">
        <v>3323</v>
      </c>
      <c r="I131" s="406" t="s">
        <v>3340</v>
      </c>
    </row>
    <row r="132" spans="1:9" s="120" customFormat="1" ht="51">
      <c r="A132" s="405" t="s">
        <v>3244</v>
      </c>
      <c r="B132" s="406" t="s">
        <v>3277</v>
      </c>
      <c r="C132" s="406" t="s">
        <v>3288</v>
      </c>
      <c r="D132" s="407">
        <v>703</v>
      </c>
      <c r="E132" s="437" t="s">
        <v>2539</v>
      </c>
      <c r="F132" s="406" t="s">
        <v>3305</v>
      </c>
      <c r="G132" s="438">
        <v>1271</v>
      </c>
      <c r="H132" s="406" t="s">
        <v>3323</v>
      </c>
      <c r="I132" s="406" t="s">
        <v>3340</v>
      </c>
    </row>
    <row r="133" spans="1:9" s="120" customFormat="1" ht="51">
      <c r="A133" s="405" t="s">
        <v>3245</v>
      </c>
      <c r="B133" s="406" t="s">
        <v>3277</v>
      </c>
      <c r="C133" s="406" t="s">
        <v>3288</v>
      </c>
      <c r="D133" s="407">
        <v>703</v>
      </c>
      <c r="E133" s="437" t="s">
        <v>2539</v>
      </c>
      <c r="F133" s="406" t="s">
        <v>3305</v>
      </c>
      <c r="G133" s="438">
        <v>1271</v>
      </c>
      <c r="H133" s="406" t="s">
        <v>3323</v>
      </c>
      <c r="I133" s="406" t="s">
        <v>3340</v>
      </c>
    </row>
    <row r="134" spans="1:9" s="120" customFormat="1" ht="63.75">
      <c r="A134" s="405" t="s">
        <v>3246</v>
      </c>
      <c r="B134" s="406" t="s">
        <v>3278</v>
      </c>
      <c r="C134" s="406" t="s">
        <v>3290</v>
      </c>
      <c r="D134" s="407">
        <v>1169</v>
      </c>
      <c r="E134" s="437" t="s">
        <v>2539</v>
      </c>
      <c r="F134" s="406" t="s">
        <v>3306</v>
      </c>
      <c r="G134" s="438">
        <v>54778</v>
      </c>
      <c r="H134" s="406" t="s">
        <v>3324</v>
      </c>
      <c r="I134" s="406" t="s">
        <v>3339</v>
      </c>
    </row>
    <row r="135" spans="1:9" s="120" customFormat="1" ht="51">
      <c r="A135" s="405" t="s">
        <v>3247</v>
      </c>
      <c r="B135" s="406" t="s">
        <v>3279</v>
      </c>
      <c r="C135" s="406" t="s">
        <v>3288</v>
      </c>
      <c r="D135" s="407">
        <v>2544</v>
      </c>
      <c r="E135" s="437" t="s">
        <v>2541</v>
      </c>
      <c r="F135" s="406" t="s">
        <v>3307</v>
      </c>
      <c r="G135" s="438">
        <v>7410</v>
      </c>
      <c r="H135" s="406" t="s">
        <v>3325</v>
      </c>
      <c r="I135" s="406" t="s">
        <v>3341</v>
      </c>
    </row>
    <row r="136" spans="1:9" s="120" customFormat="1" ht="63.75">
      <c r="A136" s="405" t="s">
        <v>3248</v>
      </c>
      <c r="B136" s="406" t="s">
        <v>3280</v>
      </c>
      <c r="C136" s="406" t="s">
        <v>3288</v>
      </c>
      <c r="D136" s="407">
        <v>2591</v>
      </c>
      <c r="E136" s="437" t="s">
        <v>2541</v>
      </c>
      <c r="F136" s="406" t="s">
        <v>3307</v>
      </c>
      <c r="G136" s="438">
        <v>7410</v>
      </c>
      <c r="H136" s="406" t="s">
        <v>3326</v>
      </c>
      <c r="I136" s="406" t="s">
        <v>3341</v>
      </c>
    </row>
    <row r="137" spans="1:9" s="120" customFormat="1" ht="51">
      <c r="A137" s="405" t="s">
        <v>3249</v>
      </c>
      <c r="B137" s="406" t="s">
        <v>3281</v>
      </c>
      <c r="C137" s="406" t="s">
        <v>3290</v>
      </c>
      <c r="D137" s="407">
        <v>38439.279999999999</v>
      </c>
      <c r="E137" s="437" t="s">
        <v>3293</v>
      </c>
      <c r="F137" s="406" t="s">
        <v>3308</v>
      </c>
      <c r="G137" s="438">
        <v>129</v>
      </c>
      <c r="H137" s="406" t="s">
        <v>3327</v>
      </c>
      <c r="I137" s="406" t="s">
        <v>3342</v>
      </c>
    </row>
    <row r="138" spans="1:9" s="120" customFormat="1" ht="51">
      <c r="A138" s="405" t="s">
        <v>3250</v>
      </c>
      <c r="B138" s="406" t="s">
        <v>3282</v>
      </c>
      <c r="C138" s="406" t="s">
        <v>3290</v>
      </c>
      <c r="D138" s="407">
        <v>1580.66</v>
      </c>
      <c r="E138" s="437" t="s">
        <v>3294</v>
      </c>
      <c r="F138" s="406"/>
      <c r="G138" s="438">
        <v>1074609</v>
      </c>
      <c r="H138" s="406" t="s">
        <v>3328</v>
      </c>
      <c r="I138" s="406" t="s">
        <v>3282</v>
      </c>
    </row>
    <row r="139" spans="1:9" s="120" customFormat="1" ht="89.25">
      <c r="A139" s="405" t="s">
        <v>3251</v>
      </c>
      <c r="B139" s="406" t="s">
        <v>3283</v>
      </c>
      <c r="C139" s="406" t="s">
        <v>3292</v>
      </c>
      <c r="D139" s="407">
        <v>188.99</v>
      </c>
      <c r="E139" s="437" t="s">
        <v>3294</v>
      </c>
      <c r="F139" s="406" t="s">
        <v>3309</v>
      </c>
      <c r="G139" s="438">
        <v>18626</v>
      </c>
      <c r="H139" s="406" t="s">
        <v>3329</v>
      </c>
      <c r="I139" s="406" t="s">
        <v>3343</v>
      </c>
    </row>
    <row r="140" spans="1:9" s="120" customFormat="1" ht="89.25">
      <c r="A140" s="405" t="s">
        <v>3252</v>
      </c>
      <c r="B140" s="406" t="s">
        <v>3283</v>
      </c>
      <c r="C140" s="406" t="s">
        <v>3292</v>
      </c>
      <c r="D140" s="407">
        <v>188.99</v>
      </c>
      <c r="E140" s="437" t="s">
        <v>3294</v>
      </c>
      <c r="F140" s="406" t="s">
        <v>3309</v>
      </c>
      <c r="G140" s="438">
        <v>18626</v>
      </c>
      <c r="H140" s="406" t="s">
        <v>3329</v>
      </c>
      <c r="I140" s="406" t="s">
        <v>3343</v>
      </c>
    </row>
    <row r="141" spans="1:9" s="120" customFormat="1" ht="89.25">
      <c r="A141" s="405" t="s">
        <v>3253</v>
      </c>
      <c r="B141" s="406" t="s">
        <v>3283</v>
      </c>
      <c r="C141" s="406" t="s">
        <v>3292</v>
      </c>
      <c r="D141" s="407">
        <v>188.99</v>
      </c>
      <c r="E141" s="437" t="s">
        <v>3294</v>
      </c>
      <c r="F141" s="406" t="s">
        <v>3309</v>
      </c>
      <c r="G141" s="438">
        <v>18626</v>
      </c>
      <c r="H141" s="406" t="s">
        <v>3329</v>
      </c>
      <c r="I141" s="406" t="s">
        <v>3343</v>
      </c>
    </row>
    <row r="142" spans="1:9" s="120" customFormat="1" ht="89.25">
      <c r="A142" s="405" t="s">
        <v>3254</v>
      </c>
      <c r="B142" s="406" t="s">
        <v>3284</v>
      </c>
      <c r="C142" s="406" t="s">
        <v>3290</v>
      </c>
      <c r="D142" s="407">
        <v>11600</v>
      </c>
      <c r="E142" s="437" t="s">
        <v>3295</v>
      </c>
      <c r="F142" s="406" t="s">
        <v>3310</v>
      </c>
      <c r="G142" s="438">
        <v>83184</v>
      </c>
      <c r="H142" s="406" t="s">
        <v>2069</v>
      </c>
      <c r="I142" s="406" t="s">
        <v>3344</v>
      </c>
    </row>
    <row r="143" spans="1:9" s="120" customFormat="1" ht="38.25">
      <c r="A143" s="405" t="s">
        <v>3255</v>
      </c>
      <c r="B143" s="406" t="s">
        <v>3285</v>
      </c>
      <c r="C143" s="406" t="s">
        <v>3290</v>
      </c>
      <c r="D143" s="407">
        <v>649</v>
      </c>
      <c r="E143" s="437" t="s">
        <v>3296</v>
      </c>
      <c r="F143" s="406" t="s">
        <v>3300</v>
      </c>
      <c r="G143" s="438">
        <v>130629060</v>
      </c>
      <c r="H143" s="406" t="s">
        <v>3330</v>
      </c>
      <c r="I143" s="406" t="s">
        <v>3345</v>
      </c>
    </row>
    <row r="144" spans="1:9" s="120" customFormat="1" ht="77.25" thickBot="1">
      <c r="A144" s="405" t="s">
        <v>3256</v>
      </c>
      <c r="B144" s="406" t="s">
        <v>3286</v>
      </c>
      <c r="C144" s="406" t="s">
        <v>3292</v>
      </c>
      <c r="D144" s="407">
        <v>9167</v>
      </c>
      <c r="E144" s="437" t="s">
        <v>3297</v>
      </c>
      <c r="F144" s="406" t="s">
        <v>3311</v>
      </c>
      <c r="G144" s="438">
        <v>868</v>
      </c>
      <c r="H144" s="406" t="s">
        <v>3331</v>
      </c>
      <c r="I144" s="406" t="s">
        <v>3346</v>
      </c>
    </row>
    <row r="145" spans="1:9" s="120" customFormat="1" hidden="1">
      <c r="A145" s="405"/>
      <c r="B145" s="406"/>
      <c r="C145" s="406"/>
      <c r="D145" s="407"/>
      <c r="E145" s="437"/>
      <c r="F145" s="406"/>
      <c r="G145" s="438"/>
      <c r="H145" s="406"/>
      <c r="I145" s="406"/>
    </row>
    <row r="146" spans="1:9" s="120" customFormat="1" hidden="1">
      <c r="A146" s="405"/>
      <c r="B146" s="406"/>
      <c r="C146" s="406"/>
      <c r="D146" s="407"/>
      <c r="E146" s="437"/>
      <c r="F146" s="406"/>
      <c r="G146" s="438"/>
      <c r="H146" s="406"/>
      <c r="I146" s="406"/>
    </row>
    <row r="147" spans="1:9" s="120" customFormat="1" hidden="1">
      <c r="A147" s="405"/>
      <c r="B147" s="406"/>
      <c r="C147" s="406"/>
      <c r="D147" s="407"/>
      <c r="E147" s="437"/>
      <c r="F147" s="406"/>
      <c r="G147" s="438"/>
      <c r="H147" s="406"/>
      <c r="I147" s="406"/>
    </row>
    <row r="148" spans="1:9" s="120" customFormat="1" hidden="1">
      <c r="A148" s="405"/>
      <c r="B148" s="406"/>
      <c r="C148" s="406"/>
      <c r="D148" s="407"/>
      <c r="E148" s="437"/>
      <c r="F148" s="406"/>
      <c r="G148" s="438"/>
      <c r="H148" s="406"/>
      <c r="I148" s="406"/>
    </row>
    <row r="149" spans="1:9" s="120" customFormat="1" hidden="1">
      <c r="A149" s="405"/>
      <c r="B149" s="406"/>
      <c r="C149" s="406"/>
      <c r="D149" s="407"/>
      <c r="E149" s="437"/>
      <c r="F149" s="406"/>
      <c r="G149" s="438"/>
      <c r="H149" s="406"/>
      <c r="I149" s="406"/>
    </row>
    <row r="150" spans="1:9" s="120" customFormat="1" hidden="1">
      <c r="A150" s="405"/>
      <c r="B150" s="406"/>
      <c r="C150" s="406"/>
      <c r="D150" s="407"/>
      <c r="E150" s="437"/>
      <c r="F150" s="406"/>
      <c r="G150" s="438"/>
      <c r="H150" s="406"/>
      <c r="I150" s="406"/>
    </row>
    <row r="151" spans="1:9" s="120" customFormat="1" hidden="1">
      <c r="A151" s="405"/>
      <c r="B151" s="406"/>
      <c r="C151" s="406"/>
      <c r="D151" s="407"/>
      <c r="E151" s="437"/>
      <c r="F151" s="406"/>
      <c r="G151" s="438"/>
      <c r="H151" s="406"/>
      <c r="I151" s="406"/>
    </row>
    <row r="152" spans="1:9" s="120" customFormat="1" hidden="1">
      <c r="A152" s="405"/>
      <c r="B152" s="406"/>
      <c r="C152" s="406"/>
      <c r="D152" s="407"/>
      <c r="E152" s="437"/>
      <c r="F152" s="406"/>
      <c r="G152" s="438"/>
      <c r="H152" s="406"/>
      <c r="I152" s="406"/>
    </row>
    <row r="153" spans="1:9" s="120" customFormat="1" hidden="1">
      <c r="A153" s="405"/>
      <c r="B153" s="406"/>
      <c r="C153" s="406"/>
      <c r="D153" s="407"/>
      <c r="E153" s="437"/>
      <c r="F153" s="406"/>
      <c r="G153" s="438"/>
      <c r="H153" s="406"/>
      <c r="I153" s="406"/>
    </row>
    <row r="154" spans="1:9" s="120" customFormat="1" hidden="1">
      <c r="A154" s="405"/>
      <c r="B154" s="406"/>
      <c r="C154" s="406"/>
      <c r="D154" s="407"/>
      <c r="E154" s="437"/>
      <c r="F154" s="406"/>
      <c r="G154" s="438"/>
      <c r="H154" s="406"/>
      <c r="I154" s="406"/>
    </row>
    <row r="155" spans="1:9" s="120" customFormat="1" hidden="1">
      <c r="A155" s="333"/>
      <c r="B155" s="329"/>
      <c r="C155" s="329"/>
      <c r="D155" s="330"/>
      <c r="E155" s="331"/>
      <c r="F155" s="329"/>
      <c r="G155" s="329"/>
      <c r="H155" s="329"/>
      <c r="I155" s="332"/>
    </row>
    <row r="156" spans="1:9" s="120" customFormat="1" hidden="1">
      <c r="A156" s="333"/>
      <c r="B156" s="329"/>
      <c r="C156" s="329"/>
      <c r="D156" s="330"/>
      <c r="E156" s="331"/>
      <c r="F156" s="329"/>
      <c r="G156" s="329"/>
      <c r="H156" s="329"/>
      <c r="I156" s="332"/>
    </row>
    <row r="157" spans="1:9" s="120" customFormat="1" hidden="1">
      <c r="A157" s="333"/>
      <c r="B157" s="329"/>
      <c r="C157" s="329"/>
      <c r="D157" s="330"/>
      <c r="E157" s="331"/>
      <c r="F157" s="329"/>
      <c r="G157" s="329"/>
      <c r="H157" s="329"/>
      <c r="I157" s="332"/>
    </row>
    <row r="158" spans="1:9" s="120" customFormat="1" hidden="1">
      <c r="A158" s="333"/>
      <c r="B158" s="329"/>
      <c r="C158" s="329"/>
      <c r="D158" s="330"/>
      <c r="E158" s="331"/>
      <c r="F158" s="329"/>
      <c r="G158" s="329"/>
      <c r="H158" s="329"/>
      <c r="I158" s="332"/>
    </row>
    <row r="159" spans="1:9" s="120" customFormat="1" hidden="1">
      <c r="A159" s="333"/>
      <c r="B159" s="329"/>
      <c r="C159" s="329"/>
      <c r="D159" s="330"/>
      <c r="E159" s="331"/>
      <c r="F159" s="329"/>
      <c r="G159" s="329"/>
      <c r="H159" s="329"/>
      <c r="I159" s="332"/>
    </row>
    <row r="160" spans="1:9" s="120" customFormat="1" hidden="1">
      <c r="A160" s="333"/>
      <c r="B160" s="329"/>
      <c r="C160" s="329"/>
      <c r="D160" s="330"/>
      <c r="E160" s="331"/>
      <c r="F160" s="329"/>
      <c r="G160" s="329"/>
      <c r="H160" s="329"/>
      <c r="I160" s="332"/>
    </row>
    <row r="161" spans="1:9" s="120" customFormat="1" hidden="1">
      <c r="A161" s="333"/>
      <c r="B161" s="329"/>
      <c r="C161" s="329"/>
      <c r="D161" s="330"/>
      <c r="E161" s="331"/>
      <c r="F161" s="329"/>
      <c r="G161" s="329"/>
      <c r="H161" s="329"/>
      <c r="I161" s="332"/>
    </row>
    <row r="162" spans="1:9" s="120" customFormat="1" hidden="1">
      <c r="A162" s="333"/>
      <c r="B162" s="329"/>
      <c r="C162" s="329"/>
      <c r="D162" s="330"/>
      <c r="E162" s="331"/>
      <c r="F162" s="329"/>
      <c r="G162" s="329"/>
      <c r="H162" s="329"/>
      <c r="I162" s="332"/>
    </row>
    <row r="163" spans="1:9" s="120" customFormat="1" hidden="1">
      <c r="A163" s="333"/>
      <c r="B163" s="329"/>
      <c r="C163" s="329"/>
      <c r="D163" s="330"/>
      <c r="E163" s="331"/>
      <c r="F163" s="329"/>
      <c r="G163" s="329"/>
      <c r="H163" s="329"/>
      <c r="I163" s="332"/>
    </row>
    <row r="164" spans="1:9" s="120" customFormat="1" hidden="1">
      <c r="A164" s="333"/>
      <c r="B164" s="329"/>
      <c r="C164" s="329"/>
      <c r="D164" s="330"/>
      <c r="E164" s="331"/>
      <c r="F164" s="329"/>
      <c r="G164" s="329"/>
      <c r="H164" s="329"/>
      <c r="I164" s="332"/>
    </row>
    <row r="165" spans="1:9" s="120" customFormat="1" hidden="1">
      <c r="A165" s="333"/>
      <c r="B165" s="329"/>
      <c r="C165" s="329"/>
      <c r="D165" s="330"/>
      <c r="E165" s="331"/>
      <c r="F165" s="329"/>
      <c r="G165" s="329"/>
      <c r="H165" s="329"/>
      <c r="I165" s="332"/>
    </row>
    <row r="166" spans="1:9" s="120" customFormat="1" ht="13.5" hidden="1" thickBot="1">
      <c r="A166" s="334"/>
      <c r="B166" s="335"/>
      <c r="C166" s="335"/>
      <c r="D166" s="336"/>
      <c r="E166" s="337"/>
      <c r="F166" s="335"/>
      <c r="G166" s="335"/>
      <c r="H166" s="335"/>
      <c r="I166" s="338"/>
    </row>
    <row r="167" spans="1:9" ht="22.5" customHeight="1" thickBot="1">
      <c r="A167" s="253"/>
      <c r="B167" s="253"/>
      <c r="C167" s="254" t="s">
        <v>250</v>
      </c>
      <c r="D167" s="246">
        <f>SUM(D5:D166)</f>
        <v>343633.4499999999</v>
      </c>
      <c r="E167" s="253"/>
      <c r="F167" s="253"/>
      <c r="G167" s="253"/>
      <c r="H167" s="255"/>
      <c r="I167" s="255"/>
    </row>
    <row r="582" spans="6:6" ht="25.5" hidden="1">
      <c r="F582" s="112" t="s">
        <v>208</v>
      </c>
    </row>
    <row r="583" spans="6:6" ht="25.5" hidden="1">
      <c r="F583" s="112" t="s">
        <v>209</v>
      </c>
    </row>
    <row r="584" spans="6:6" ht="25.5" hidden="1">
      <c r="F584" s="112" t="s">
        <v>210</v>
      </c>
    </row>
    <row r="585" spans="6:6" ht="25.5" hidden="1">
      <c r="F585" s="112" t="s">
        <v>211</v>
      </c>
    </row>
    <row r="586" spans="6:6" ht="38.25" hidden="1">
      <c r="F586" s="112" t="s">
        <v>212</v>
      </c>
    </row>
    <row r="587" spans="6:6" ht="25.5" hidden="1">
      <c r="F587" s="112" t="s">
        <v>213</v>
      </c>
    </row>
    <row r="588" spans="6:6" ht="38.25" hidden="1">
      <c r="F588" s="112" t="s">
        <v>214</v>
      </c>
    </row>
    <row r="589" spans="6:6" ht="51" hidden="1">
      <c r="F589" s="112" t="s">
        <v>215</v>
      </c>
    </row>
    <row r="590" spans="6:6" hidden="1">
      <c r="F590" s="112" t="s">
        <v>216</v>
      </c>
    </row>
    <row r="591" spans="6:6" ht="25.5" hidden="1">
      <c r="F591" s="112" t="s">
        <v>217</v>
      </c>
    </row>
    <row r="592" spans="6:6" hidden="1">
      <c r="F592" s="112" t="s">
        <v>218</v>
      </c>
    </row>
    <row r="593" spans="6:6" ht="25.5" hidden="1">
      <c r="F593" s="112" t="s">
        <v>219</v>
      </c>
    </row>
    <row r="594" spans="6:6" hidden="1">
      <c r="F594" s="112" t="s">
        <v>64</v>
      </c>
    </row>
    <row r="595" spans="6:6" hidden="1"/>
    <row r="596" spans="6:6" hidden="1"/>
  </sheetData>
  <sheetProtection formatRows="0" insertRows="0"/>
  <mergeCells count="3">
    <mergeCell ref="A3:I3"/>
    <mergeCell ref="A1:I1"/>
    <mergeCell ref="A2:I2"/>
  </mergeCells>
  <phoneticPr fontId="0" type="noConversion"/>
  <dataValidations count="1">
    <dataValidation type="list" allowBlank="1" showInputMessage="1" showErrorMessage="1" sqref="C5:C166" xr:uid="{00000000-0002-0000-0700-000000000000}">
      <formula1>$F$582:$F$595</formula1>
    </dataValidation>
  </dataValidations>
  <pageMargins left="0.19685039370078741" right="0.19685039370078741" top="0.59055118110236227" bottom="0.59055118110236227" header="0" footer="0"/>
  <pageSetup paperSize="9" scale="93" fitToHeight="0" pageOrder="overThenDown" orientation="landscape" r:id="rId1"/>
  <headerFooter>
    <oddFoote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749992370372631"/>
    <pageSetUpPr fitToPage="1"/>
  </sheetPr>
  <dimension ref="A1:J424"/>
  <sheetViews>
    <sheetView showGridLines="0" view="pageBreakPreview" zoomScaleNormal="100" zoomScaleSheetLayoutView="100" workbookViewId="0">
      <pane xSplit="5" ySplit="4" topLeftCell="F47" activePane="bottomRight" state="frozen"/>
      <selection activeCell="K2409" sqref="K2409"/>
      <selection pane="topRight" activeCell="K2409" sqref="K2409"/>
      <selection pane="bottomLeft" activeCell="K2409" sqref="K2409"/>
      <selection pane="bottomRight" activeCell="E53" sqref="E53"/>
    </sheetView>
  </sheetViews>
  <sheetFormatPr defaultColWidth="9.140625" defaultRowHeight="12.75"/>
  <cols>
    <col min="1" max="1" width="4" style="125" customWidth="1"/>
    <col min="2" max="2" width="12.140625" style="37" customWidth="1"/>
    <col min="3" max="3" width="15.42578125" style="125" customWidth="1"/>
    <col min="4" max="4" width="23.5703125" style="37" customWidth="1"/>
    <col min="5" max="5" width="14.5703125" style="126" customWidth="1"/>
    <col min="6" max="6" width="44.140625" style="37" customWidth="1"/>
    <col min="7" max="7" width="25.42578125" style="126" customWidth="1"/>
    <col min="8" max="9" width="23.85546875" style="37" customWidth="1"/>
    <col min="10" max="10" width="16.42578125" style="37" customWidth="1"/>
    <col min="11" max="16384" width="9.140625" style="125"/>
  </cols>
  <sheetData>
    <row r="1" spans="1:10" ht="15.75" customHeight="1">
      <c r="A1" s="541" t="str">
        <f>Capa!A70</f>
        <v xml:space="preserve">Contrato de Gestão nº06/2020 - Secretaria Estadual de Cultura e Instituto Cultural Filarmonica </v>
      </c>
      <c r="B1" s="541"/>
      <c r="C1" s="541"/>
      <c r="D1" s="541"/>
      <c r="E1" s="541"/>
      <c r="F1" s="541"/>
      <c r="G1" s="541"/>
      <c r="H1" s="541"/>
      <c r="I1" s="541"/>
      <c r="J1" s="541"/>
    </row>
    <row r="2" spans="1:10" ht="15.75">
      <c r="A2" s="541" t="str">
        <f>Capa!A5</f>
        <v>24º Relatório Gerencial Financeiro</v>
      </c>
      <c r="B2" s="541"/>
      <c r="C2" s="541"/>
      <c r="D2" s="541"/>
      <c r="E2" s="541"/>
      <c r="F2" s="541"/>
      <c r="G2" s="541"/>
      <c r="H2" s="541"/>
      <c r="I2" s="541"/>
      <c r="J2" s="541"/>
    </row>
    <row r="3" spans="1:10" ht="15">
      <c r="A3" s="552" t="s">
        <v>303</v>
      </c>
      <c r="B3" s="552"/>
      <c r="C3" s="552"/>
      <c r="D3" s="552"/>
      <c r="E3" s="552"/>
      <c r="F3" s="552"/>
      <c r="G3" s="552"/>
      <c r="H3" s="552"/>
      <c r="I3" s="552"/>
      <c r="J3" s="552"/>
    </row>
    <row r="4" spans="1:10" ht="36" customHeight="1">
      <c r="A4" s="410" t="s">
        <v>259</v>
      </c>
      <c r="B4" s="410" t="s">
        <v>260</v>
      </c>
      <c r="C4" s="410" t="s">
        <v>34</v>
      </c>
      <c r="D4" s="410" t="s">
        <v>41</v>
      </c>
      <c r="E4" s="411" t="s">
        <v>149</v>
      </c>
      <c r="F4" s="410" t="s">
        <v>48</v>
      </c>
      <c r="G4" s="412" t="s">
        <v>276</v>
      </c>
      <c r="H4" s="412" t="s">
        <v>379</v>
      </c>
      <c r="I4" s="413" t="s">
        <v>49</v>
      </c>
      <c r="J4" s="414" t="s">
        <v>569</v>
      </c>
    </row>
    <row r="5" spans="1:10" ht="42" customHeight="1">
      <c r="A5" s="358">
        <v>1</v>
      </c>
      <c r="B5" s="418">
        <v>41964</v>
      </c>
      <c r="C5" s="417" t="s">
        <v>132</v>
      </c>
      <c r="D5" s="396" t="s">
        <v>213</v>
      </c>
      <c r="E5" s="419">
        <v>161069.79999999999</v>
      </c>
      <c r="F5" s="420" t="s">
        <v>763</v>
      </c>
      <c r="G5" s="394" t="s">
        <v>278</v>
      </c>
      <c r="H5" s="421" t="s">
        <v>740</v>
      </c>
      <c r="I5" s="415" t="s">
        <v>768</v>
      </c>
      <c r="J5" s="450" t="s">
        <v>577</v>
      </c>
    </row>
    <row r="6" spans="1:10" ht="48">
      <c r="A6" s="357">
        <v>2</v>
      </c>
      <c r="B6" s="418">
        <v>41985</v>
      </c>
      <c r="C6" s="417" t="s">
        <v>132</v>
      </c>
      <c r="D6" s="396" t="s">
        <v>213</v>
      </c>
      <c r="E6" s="419">
        <v>997.45</v>
      </c>
      <c r="F6" s="420" t="s">
        <v>763</v>
      </c>
      <c r="G6" s="394" t="s">
        <v>278</v>
      </c>
      <c r="H6" s="421" t="s">
        <v>740</v>
      </c>
      <c r="I6" s="415" t="s">
        <v>768</v>
      </c>
      <c r="J6" s="450" t="s">
        <v>577</v>
      </c>
    </row>
    <row r="7" spans="1:10" ht="48">
      <c r="A7" s="357">
        <v>3</v>
      </c>
      <c r="B7" s="418">
        <v>41956</v>
      </c>
      <c r="C7" s="417" t="s">
        <v>132</v>
      </c>
      <c r="D7" s="396" t="s">
        <v>213</v>
      </c>
      <c r="E7" s="419">
        <v>5725.55</v>
      </c>
      <c r="F7" s="420" t="s">
        <v>763</v>
      </c>
      <c r="G7" s="394" t="s">
        <v>278</v>
      </c>
      <c r="H7" s="421" t="s">
        <v>740</v>
      </c>
      <c r="I7" s="415" t="s">
        <v>768</v>
      </c>
      <c r="J7" s="450" t="s">
        <v>577</v>
      </c>
    </row>
    <row r="8" spans="1:10" ht="48">
      <c r="A8" s="358">
        <v>4</v>
      </c>
      <c r="B8" s="418">
        <v>41964</v>
      </c>
      <c r="C8" s="417" t="s">
        <v>132</v>
      </c>
      <c r="D8" s="396" t="s">
        <v>213</v>
      </c>
      <c r="E8" s="419">
        <v>9039.18</v>
      </c>
      <c r="F8" s="420" t="s">
        <v>763</v>
      </c>
      <c r="G8" s="394" t="s">
        <v>278</v>
      </c>
      <c r="H8" s="421" t="s">
        <v>740</v>
      </c>
      <c r="I8" s="415" t="s">
        <v>768</v>
      </c>
      <c r="J8" s="450" t="s">
        <v>577</v>
      </c>
    </row>
    <row r="9" spans="1:10" ht="48">
      <c r="A9" s="357">
        <v>5</v>
      </c>
      <c r="B9" s="418">
        <v>41985</v>
      </c>
      <c r="C9" s="417" t="s">
        <v>132</v>
      </c>
      <c r="D9" s="396" t="s">
        <v>213</v>
      </c>
      <c r="E9" s="419">
        <v>91.43</v>
      </c>
      <c r="F9" s="420" t="s">
        <v>763</v>
      </c>
      <c r="G9" s="394" t="s">
        <v>278</v>
      </c>
      <c r="H9" s="421" t="s">
        <v>740</v>
      </c>
      <c r="I9" s="415" t="s">
        <v>768</v>
      </c>
      <c r="J9" s="450" t="s">
        <v>577</v>
      </c>
    </row>
    <row r="10" spans="1:10" ht="48">
      <c r="A10" s="357">
        <v>6</v>
      </c>
      <c r="B10" s="418">
        <v>41956</v>
      </c>
      <c r="C10" s="417" t="s">
        <v>132</v>
      </c>
      <c r="D10" s="396" t="s">
        <v>213</v>
      </c>
      <c r="E10" s="419">
        <v>26372.25</v>
      </c>
      <c r="F10" s="420" t="s">
        <v>763</v>
      </c>
      <c r="G10" s="394" t="s">
        <v>278</v>
      </c>
      <c r="H10" s="421" t="s">
        <v>740</v>
      </c>
      <c r="I10" s="415" t="s">
        <v>768</v>
      </c>
      <c r="J10" s="450" t="s">
        <v>577</v>
      </c>
    </row>
    <row r="11" spans="1:10" ht="48">
      <c r="A11" s="358">
        <v>7</v>
      </c>
      <c r="B11" s="418">
        <v>41964</v>
      </c>
      <c r="C11" s="417" t="s">
        <v>132</v>
      </c>
      <c r="D11" s="396" t="s">
        <v>213</v>
      </c>
      <c r="E11" s="419">
        <v>41635</v>
      </c>
      <c r="F11" s="420" t="s">
        <v>763</v>
      </c>
      <c r="G11" s="394" t="s">
        <v>278</v>
      </c>
      <c r="H11" s="421" t="s">
        <v>740</v>
      </c>
      <c r="I11" s="415" t="s">
        <v>768</v>
      </c>
      <c r="J11" s="450" t="s">
        <v>577</v>
      </c>
    </row>
    <row r="12" spans="1:10" ht="48">
      <c r="A12" s="357">
        <v>8</v>
      </c>
      <c r="B12" s="418">
        <v>41985</v>
      </c>
      <c r="C12" s="417" t="s">
        <v>132</v>
      </c>
      <c r="D12" s="396" t="s">
        <v>213</v>
      </c>
      <c r="E12" s="419">
        <v>421.14</v>
      </c>
      <c r="F12" s="420" t="s">
        <v>763</v>
      </c>
      <c r="G12" s="394" t="s">
        <v>278</v>
      </c>
      <c r="H12" s="421" t="s">
        <v>740</v>
      </c>
      <c r="I12" s="415" t="s">
        <v>768</v>
      </c>
      <c r="J12" s="450" t="s">
        <v>577</v>
      </c>
    </row>
    <row r="13" spans="1:10" ht="48">
      <c r="A13" s="357">
        <v>9</v>
      </c>
      <c r="B13" s="418">
        <v>42096</v>
      </c>
      <c r="C13" s="417" t="s">
        <v>132</v>
      </c>
      <c r="D13" s="396" t="s">
        <v>218</v>
      </c>
      <c r="E13" s="419">
        <v>17960.650000000001</v>
      </c>
      <c r="F13" s="420" t="s">
        <v>764</v>
      </c>
      <c r="G13" s="394" t="s">
        <v>278</v>
      </c>
      <c r="H13" s="421" t="s">
        <v>740</v>
      </c>
      <c r="I13" s="415" t="s">
        <v>768</v>
      </c>
      <c r="J13" s="450" t="s">
        <v>577</v>
      </c>
    </row>
    <row r="14" spans="1:10" ht="48">
      <c r="A14" s="358">
        <v>10</v>
      </c>
      <c r="B14" s="418">
        <v>42235</v>
      </c>
      <c r="C14" s="417" t="s">
        <v>132</v>
      </c>
      <c r="D14" s="396" t="s">
        <v>218</v>
      </c>
      <c r="E14" s="419">
        <v>1798.08</v>
      </c>
      <c r="F14" s="420" t="s">
        <v>764</v>
      </c>
      <c r="G14" s="394" t="s">
        <v>278</v>
      </c>
      <c r="H14" s="421" t="s">
        <v>740</v>
      </c>
      <c r="I14" s="415" t="s">
        <v>768</v>
      </c>
      <c r="J14" s="450" t="s">
        <v>577</v>
      </c>
    </row>
    <row r="15" spans="1:10" ht="48">
      <c r="A15" s="357">
        <v>11</v>
      </c>
      <c r="B15" s="418">
        <v>42101</v>
      </c>
      <c r="C15" s="417" t="s">
        <v>132</v>
      </c>
      <c r="D15" s="396" t="s">
        <v>218</v>
      </c>
      <c r="E15" s="419">
        <v>1562.53</v>
      </c>
      <c r="F15" s="420" t="s">
        <v>764</v>
      </c>
      <c r="G15" s="394" t="s">
        <v>278</v>
      </c>
      <c r="H15" s="421" t="s">
        <v>740</v>
      </c>
      <c r="I15" s="415" t="s">
        <v>768</v>
      </c>
      <c r="J15" s="450" t="s">
        <v>577</v>
      </c>
    </row>
    <row r="16" spans="1:10" ht="48">
      <c r="A16" s="357">
        <v>12</v>
      </c>
      <c r="B16" s="418">
        <v>42235</v>
      </c>
      <c r="C16" s="417" t="s">
        <v>132</v>
      </c>
      <c r="D16" s="396" t="s">
        <v>218</v>
      </c>
      <c r="E16" s="419">
        <v>625.25</v>
      </c>
      <c r="F16" s="420" t="s">
        <v>764</v>
      </c>
      <c r="G16" s="394" t="s">
        <v>278</v>
      </c>
      <c r="H16" s="421" t="s">
        <v>740</v>
      </c>
      <c r="I16" s="415" t="s">
        <v>768</v>
      </c>
      <c r="J16" s="450" t="s">
        <v>577</v>
      </c>
    </row>
    <row r="17" spans="1:10" ht="48">
      <c r="A17" s="358">
        <v>13</v>
      </c>
      <c r="B17" s="418">
        <v>42101</v>
      </c>
      <c r="C17" s="417" t="s">
        <v>132</v>
      </c>
      <c r="D17" s="396" t="s">
        <v>218</v>
      </c>
      <c r="E17" s="419">
        <v>8090.32</v>
      </c>
      <c r="F17" s="420" t="s">
        <v>764</v>
      </c>
      <c r="G17" s="394" t="s">
        <v>278</v>
      </c>
      <c r="H17" s="421" t="s">
        <v>740</v>
      </c>
      <c r="I17" s="415" t="s">
        <v>768</v>
      </c>
      <c r="J17" s="450" t="s">
        <v>577</v>
      </c>
    </row>
    <row r="18" spans="1:10" ht="48">
      <c r="A18" s="357">
        <v>14</v>
      </c>
      <c r="B18" s="418">
        <v>42235</v>
      </c>
      <c r="C18" s="417" t="s">
        <v>132</v>
      </c>
      <c r="D18" s="396" t="s">
        <v>218</v>
      </c>
      <c r="E18" s="419">
        <v>2945.63</v>
      </c>
      <c r="F18" s="420" t="s">
        <v>764</v>
      </c>
      <c r="G18" s="394" t="s">
        <v>278</v>
      </c>
      <c r="H18" s="421" t="s">
        <v>740</v>
      </c>
      <c r="I18" s="415" t="s">
        <v>768</v>
      </c>
      <c r="J18" s="450" t="s">
        <v>577</v>
      </c>
    </row>
    <row r="19" spans="1:10" ht="48">
      <c r="A19" s="357">
        <v>15</v>
      </c>
      <c r="B19" s="422">
        <v>42101</v>
      </c>
      <c r="C19" s="417" t="s">
        <v>132</v>
      </c>
      <c r="D19" s="396" t="s">
        <v>218</v>
      </c>
      <c r="E19" s="419">
        <v>5633</v>
      </c>
      <c r="F19" s="420" t="s">
        <v>764</v>
      </c>
      <c r="G19" s="394" t="s">
        <v>278</v>
      </c>
      <c r="H19" s="421" t="s">
        <v>740</v>
      </c>
      <c r="I19" s="415" t="s">
        <v>768</v>
      </c>
      <c r="J19" s="450" t="s">
        <v>577</v>
      </c>
    </row>
    <row r="20" spans="1:10" ht="48">
      <c r="A20" s="358">
        <v>16</v>
      </c>
      <c r="B20" s="418">
        <v>42235</v>
      </c>
      <c r="C20" s="417" t="s">
        <v>132</v>
      </c>
      <c r="D20" s="396" t="s">
        <v>218</v>
      </c>
      <c r="E20" s="419">
        <v>563.92999999999995</v>
      </c>
      <c r="F20" s="420" t="s">
        <v>764</v>
      </c>
      <c r="G20" s="394" t="s">
        <v>278</v>
      </c>
      <c r="H20" s="421" t="s">
        <v>740</v>
      </c>
      <c r="I20" s="415" t="s">
        <v>768</v>
      </c>
      <c r="J20" s="450" t="s">
        <v>577</v>
      </c>
    </row>
    <row r="21" spans="1:10" ht="48">
      <c r="A21" s="357">
        <v>17</v>
      </c>
      <c r="B21" s="422">
        <v>42096</v>
      </c>
      <c r="C21" s="417" t="s">
        <v>132</v>
      </c>
      <c r="D21" s="396" t="s">
        <v>218</v>
      </c>
      <c r="E21" s="419">
        <v>31400.23</v>
      </c>
      <c r="F21" s="420" t="s">
        <v>765</v>
      </c>
      <c r="G21" s="394" t="s">
        <v>278</v>
      </c>
      <c r="H21" s="421" t="s">
        <v>740</v>
      </c>
      <c r="I21" s="415" t="s">
        <v>768</v>
      </c>
      <c r="J21" s="450" t="s">
        <v>577</v>
      </c>
    </row>
    <row r="22" spans="1:10" ht="48">
      <c r="A22" s="357">
        <v>18</v>
      </c>
      <c r="B22" s="418">
        <v>42235</v>
      </c>
      <c r="C22" s="417" t="s">
        <v>132</v>
      </c>
      <c r="D22" s="396" t="s">
        <v>218</v>
      </c>
      <c r="E22" s="419">
        <v>2077.89</v>
      </c>
      <c r="F22" s="420" t="s">
        <v>765</v>
      </c>
      <c r="G22" s="394" t="s">
        <v>278</v>
      </c>
      <c r="H22" s="421" t="s">
        <v>740</v>
      </c>
      <c r="I22" s="415" t="s">
        <v>768</v>
      </c>
      <c r="J22" s="450" t="s">
        <v>577</v>
      </c>
    </row>
    <row r="23" spans="1:10" ht="48">
      <c r="A23" s="358">
        <v>19</v>
      </c>
      <c r="B23" s="422">
        <v>42096</v>
      </c>
      <c r="C23" s="417" t="s">
        <v>132</v>
      </c>
      <c r="D23" s="396" t="s">
        <v>218</v>
      </c>
      <c r="E23" s="419">
        <v>10155</v>
      </c>
      <c r="F23" s="420" t="s">
        <v>765</v>
      </c>
      <c r="G23" s="394" t="s">
        <v>278</v>
      </c>
      <c r="H23" s="421" t="s">
        <v>740</v>
      </c>
      <c r="I23" s="415" t="s">
        <v>768</v>
      </c>
      <c r="J23" s="450" t="s">
        <v>577</v>
      </c>
    </row>
    <row r="24" spans="1:10" ht="48">
      <c r="A24" s="357">
        <v>20</v>
      </c>
      <c r="B24" s="418">
        <v>42235</v>
      </c>
      <c r="C24" s="417" t="s">
        <v>132</v>
      </c>
      <c r="D24" s="396" t="s">
        <v>218</v>
      </c>
      <c r="E24" s="419">
        <v>672.01</v>
      </c>
      <c r="F24" s="420" t="s">
        <v>765</v>
      </c>
      <c r="G24" s="394" t="s">
        <v>278</v>
      </c>
      <c r="H24" s="421" t="s">
        <v>740</v>
      </c>
      <c r="I24" s="415" t="s">
        <v>768</v>
      </c>
      <c r="J24" s="450" t="s">
        <v>577</v>
      </c>
    </row>
    <row r="25" spans="1:10" ht="48">
      <c r="A25" s="357">
        <v>21</v>
      </c>
      <c r="B25" s="422">
        <v>42096</v>
      </c>
      <c r="C25" s="417" t="s">
        <v>132</v>
      </c>
      <c r="D25" s="396" t="s">
        <v>218</v>
      </c>
      <c r="E25" s="419">
        <v>2833.05</v>
      </c>
      <c r="F25" s="420" t="s">
        <v>765</v>
      </c>
      <c r="G25" s="394" t="s">
        <v>278</v>
      </c>
      <c r="H25" s="421" t="s">
        <v>740</v>
      </c>
      <c r="I25" s="415" t="s">
        <v>768</v>
      </c>
      <c r="J25" s="450" t="s">
        <v>577</v>
      </c>
    </row>
    <row r="26" spans="1:10" ht="48">
      <c r="A26" s="358">
        <v>22</v>
      </c>
      <c r="B26" s="418">
        <v>42235</v>
      </c>
      <c r="C26" s="417" t="s">
        <v>132</v>
      </c>
      <c r="D26" s="396" t="s">
        <v>218</v>
      </c>
      <c r="E26" s="419">
        <v>1011.25</v>
      </c>
      <c r="F26" s="420" t="s">
        <v>765</v>
      </c>
      <c r="G26" s="394" t="s">
        <v>278</v>
      </c>
      <c r="H26" s="421" t="s">
        <v>740</v>
      </c>
      <c r="I26" s="415" t="s">
        <v>768</v>
      </c>
      <c r="J26" s="450" t="s">
        <v>577</v>
      </c>
    </row>
    <row r="27" spans="1:10" ht="48">
      <c r="A27" s="357">
        <v>23</v>
      </c>
      <c r="B27" s="422">
        <v>42096</v>
      </c>
      <c r="C27" s="417" t="s">
        <v>132</v>
      </c>
      <c r="D27" s="396" t="s">
        <v>218</v>
      </c>
      <c r="E27" s="419">
        <v>14737.11</v>
      </c>
      <c r="F27" s="420" t="s">
        <v>765</v>
      </c>
      <c r="G27" s="394" t="s">
        <v>278</v>
      </c>
      <c r="H27" s="421" t="s">
        <v>740</v>
      </c>
      <c r="I27" s="415" t="s">
        <v>768</v>
      </c>
      <c r="J27" s="450" t="s">
        <v>577</v>
      </c>
    </row>
    <row r="28" spans="1:10" ht="48">
      <c r="A28" s="357">
        <v>24</v>
      </c>
      <c r="B28" s="418">
        <v>42235</v>
      </c>
      <c r="C28" s="417" t="s">
        <v>132</v>
      </c>
      <c r="D28" s="396" t="s">
        <v>218</v>
      </c>
      <c r="E28" s="419">
        <v>4728</v>
      </c>
      <c r="F28" s="420" t="s">
        <v>765</v>
      </c>
      <c r="G28" s="394" t="s">
        <v>278</v>
      </c>
      <c r="H28" s="421" t="s">
        <v>740</v>
      </c>
      <c r="I28" s="415" t="s">
        <v>768</v>
      </c>
      <c r="J28" s="450" t="s">
        <v>577</v>
      </c>
    </row>
    <row r="29" spans="1:10" ht="48">
      <c r="A29" s="358">
        <v>25</v>
      </c>
      <c r="B29" s="422">
        <v>42096</v>
      </c>
      <c r="C29" s="417" t="s">
        <v>132</v>
      </c>
      <c r="D29" s="396" t="s">
        <v>218</v>
      </c>
      <c r="E29" s="419">
        <v>50887.14</v>
      </c>
      <c r="F29" s="420" t="s">
        <v>765</v>
      </c>
      <c r="G29" s="394" t="s">
        <v>278</v>
      </c>
      <c r="H29" s="421" t="s">
        <v>740</v>
      </c>
      <c r="I29" s="415" t="s">
        <v>768</v>
      </c>
      <c r="J29" s="450" t="s">
        <v>577</v>
      </c>
    </row>
    <row r="30" spans="1:10" ht="48">
      <c r="A30" s="358">
        <v>25</v>
      </c>
      <c r="B30" s="422">
        <v>45966</v>
      </c>
      <c r="C30" s="417" t="s">
        <v>132</v>
      </c>
      <c r="D30" s="396" t="s">
        <v>218</v>
      </c>
      <c r="E30" s="419">
        <v>-50887.14</v>
      </c>
      <c r="F30" s="420" t="s">
        <v>765</v>
      </c>
      <c r="G30" s="394" t="s">
        <v>278</v>
      </c>
      <c r="H30" s="421" t="s">
        <v>740</v>
      </c>
      <c r="I30" s="415" t="s">
        <v>768</v>
      </c>
      <c r="J30" s="450" t="s">
        <v>577</v>
      </c>
    </row>
    <row r="31" spans="1:10" ht="48">
      <c r="A31" s="357">
        <v>26</v>
      </c>
      <c r="B31" s="418">
        <v>42108</v>
      </c>
      <c r="C31" s="417" t="s">
        <v>132</v>
      </c>
      <c r="D31" s="396" t="s">
        <v>213</v>
      </c>
      <c r="E31" s="419">
        <v>17980.5</v>
      </c>
      <c r="F31" s="428" t="s">
        <v>766</v>
      </c>
      <c r="G31" s="394" t="s">
        <v>278</v>
      </c>
      <c r="H31" s="421" t="s">
        <v>740</v>
      </c>
      <c r="I31" s="415" t="s">
        <v>768</v>
      </c>
      <c r="J31" s="450" t="s">
        <v>577</v>
      </c>
    </row>
    <row r="32" spans="1:10" ht="48">
      <c r="A32" s="357">
        <v>27</v>
      </c>
      <c r="B32" s="418">
        <v>42117</v>
      </c>
      <c r="C32" s="417" t="s">
        <v>132</v>
      </c>
      <c r="D32" s="396" t="s">
        <v>213</v>
      </c>
      <c r="E32" s="419">
        <v>2727.55</v>
      </c>
      <c r="F32" s="428" t="s">
        <v>766</v>
      </c>
      <c r="G32" s="394" t="s">
        <v>278</v>
      </c>
      <c r="H32" s="421" t="s">
        <v>740</v>
      </c>
      <c r="I32" s="415" t="s">
        <v>768</v>
      </c>
      <c r="J32" s="450" t="s">
        <v>577</v>
      </c>
    </row>
    <row r="33" spans="1:10" ht="48">
      <c r="A33" s="358">
        <v>28</v>
      </c>
      <c r="B33" s="418">
        <v>42320</v>
      </c>
      <c r="C33" s="417" t="s">
        <v>132</v>
      </c>
      <c r="D33" s="396" t="s">
        <v>213</v>
      </c>
      <c r="E33" s="423">
        <v>23490.75</v>
      </c>
      <c r="F33" s="421" t="s">
        <v>767</v>
      </c>
      <c r="G33" s="394" t="s">
        <v>278</v>
      </c>
      <c r="H33" s="421" t="s">
        <v>740</v>
      </c>
      <c r="I33" s="415" t="s">
        <v>768</v>
      </c>
      <c r="J33" s="450" t="s">
        <v>577</v>
      </c>
    </row>
    <row r="34" spans="1:10" ht="48">
      <c r="A34" s="357">
        <v>29</v>
      </c>
      <c r="B34" s="418">
        <v>42320</v>
      </c>
      <c r="C34" s="417" t="s">
        <v>132</v>
      </c>
      <c r="D34" s="396" t="s">
        <v>213</v>
      </c>
      <c r="E34" s="424">
        <v>5111.9799999999996</v>
      </c>
      <c r="F34" s="421" t="s">
        <v>767</v>
      </c>
      <c r="G34" s="394" t="s">
        <v>278</v>
      </c>
      <c r="H34" s="421" t="s">
        <v>740</v>
      </c>
      <c r="I34" s="415" t="s">
        <v>768</v>
      </c>
      <c r="J34" s="450" t="s">
        <v>577</v>
      </c>
    </row>
    <row r="35" spans="1:10" ht="48">
      <c r="A35" s="357">
        <v>30</v>
      </c>
      <c r="B35" s="418">
        <v>42320</v>
      </c>
      <c r="C35" s="417" t="s">
        <v>132</v>
      </c>
      <c r="D35" s="396" t="s">
        <v>213</v>
      </c>
      <c r="E35" s="424">
        <v>43816.95</v>
      </c>
      <c r="F35" s="421" t="s">
        <v>767</v>
      </c>
      <c r="G35" s="394" t="s">
        <v>278</v>
      </c>
      <c r="H35" s="421" t="s">
        <v>740</v>
      </c>
      <c r="I35" s="415" t="s">
        <v>768</v>
      </c>
      <c r="J35" s="450" t="s">
        <v>577</v>
      </c>
    </row>
    <row r="36" spans="1:10" ht="24">
      <c r="A36" s="358">
        <v>31</v>
      </c>
      <c r="B36" s="386">
        <v>46174</v>
      </c>
      <c r="C36" s="389" t="s">
        <v>166</v>
      </c>
      <c r="D36" s="398" t="s">
        <v>581</v>
      </c>
      <c r="E36" s="404">
        <v>654.05999999999995</v>
      </c>
      <c r="F36" s="397" t="s">
        <v>2078</v>
      </c>
      <c r="G36" s="389" t="s">
        <v>280</v>
      </c>
      <c r="H36" s="398" t="s">
        <v>611</v>
      </c>
      <c r="I36" s="399" t="s">
        <v>759</v>
      </c>
      <c r="J36" s="425" t="s">
        <v>572</v>
      </c>
    </row>
    <row r="37" spans="1:10" ht="24">
      <c r="A37" s="357">
        <v>32</v>
      </c>
      <c r="B37" s="386">
        <v>46174</v>
      </c>
      <c r="C37" s="389" t="s">
        <v>166</v>
      </c>
      <c r="D37" s="398" t="s">
        <v>581</v>
      </c>
      <c r="E37" s="404">
        <v>572.21</v>
      </c>
      <c r="F37" s="397" t="s">
        <v>2078</v>
      </c>
      <c r="G37" s="389" t="s">
        <v>280</v>
      </c>
      <c r="H37" s="398" t="s">
        <v>611</v>
      </c>
      <c r="I37" s="399" t="s">
        <v>759</v>
      </c>
      <c r="J37" s="425" t="s">
        <v>572</v>
      </c>
    </row>
    <row r="38" spans="1:10" ht="24">
      <c r="A38" s="357">
        <v>32</v>
      </c>
      <c r="B38" s="386">
        <v>46174</v>
      </c>
      <c r="C38" s="389" t="s">
        <v>166</v>
      </c>
      <c r="D38" s="398" t="s">
        <v>1210</v>
      </c>
      <c r="E38" s="404">
        <f>1073781</f>
        <v>1073781</v>
      </c>
      <c r="F38" s="397" t="s">
        <v>2073</v>
      </c>
      <c r="G38" s="389" t="s">
        <v>280</v>
      </c>
      <c r="H38" s="398" t="s">
        <v>744</v>
      </c>
      <c r="I38" s="399" t="s">
        <v>1950</v>
      </c>
      <c r="J38" s="425"/>
    </row>
    <row r="39" spans="1:10" ht="24">
      <c r="A39" s="357">
        <v>32</v>
      </c>
      <c r="B39" s="386">
        <v>46174</v>
      </c>
      <c r="C39" s="389" t="s">
        <v>166</v>
      </c>
      <c r="D39" s="398" t="s">
        <v>4</v>
      </c>
      <c r="E39" s="404">
        <v>108936.87</v>
      </c>
      <c r="F39" s="397" t="s">
        <v>2074</v>
      </c>
      <c r="G39" s="389" t="s">
        <v>280</v>
      </c>
      <c r="H39" s="398" t="s">
        <v>647</v>
      </c>
      <c r="I39" s="399" t="s">
        <v>1951</v>
      </c>
      <c r="J39" s="425" t="s">
        <v>572</v>
      </c>
    </row>
    <row r="40" spans="1:10" ht="24">
      <c r="A40" s="358">
        <v>34</v>
      </c>
      <c r="B40" s="386">
        <v>46174</v>
      </c>
      <c r="C40" s="389" t="s">
        <v>166</v>
      </c>
      <c r="D40" s="398" t="s">
        <v>1210</v>
      </c>
      <c r="E40" s="404">
        <v>1565.05</v>
      </c>
      <c r="F40" s="397" t="s">
        <v>2075</v>
      </c>
      <c r="G40" s="389" t="s">
        <v>280</v>
      </c>
      <c r="H40" s="398" t="s">
        <v>1444</v>
      </c>
      <c r="I40" s="399" t="s">
        <v>1952</v>
      </c>
      <c r="J40" s="425" t="s">
        <v>572</v>
      </c>
    </row>
    <row r="41" spans="1:10" ht="48">
      <c r="A41" s="357">
        <v>35</v>
      </c>
      <c r="B41" s="386">
        <v>46174</v>
      </c>
      <c r="C41" s="389" t="s">
        <v>166</v>
      </c>
      <c r="D41" s="398" t="s">
        <v>1210</v>
      </c>
      <c r="E41" s="404">
        <v>3440</v>
      </c>
      <c r="F41" s="397" t="s">
        <v>2077</v>
      </c>
      <c r="G41" s="389" t="s">
        <v>280</v>
      </c>
      <c r="H41" s="398" t="s">
        <v>1056</v>
      </c>
      <c r="I41" s="399" t="s">
        <v>1953</v>
      </c>
      <c r="J41" s="425" t="s">
        <v>572</v>
      </c>
    </row>
    <row r="42" spans="1:10" ht="24">
      <c r="A42" s="357">
        <v>35</v>
      </c>
      <c r="B42" s="386">
        <v>46174</v>
      </c>
      <c r="C42" s="389" t="s">
        <v>166</v>
      </c>
      <c r="D42" s="398" t="s">
        <v>1210</v>
      </c>
      <c r="E42" s="404">
        <v>1501.5</v>
      </c>
      <c r="F42" s="397" t="s">
        <v>2076</v>
      </c>
      <c r="G42" s="389" t="s">
        <v>280</v>
      </c>
      <c r="H42" s="398" t="s">
        <v>1439</v>
      </c>
      <c r="I42" s="399" t="s">
        <v>1954</v>
      </c>
      <c r="J42" s="425" t="s">
        <v>572</v>
      </c>
    </row>
    <row r="43" spans="1:10" ht="24">
      <c r="A43" s="357">
        <v>36</v>
      </c>
      <c r="B43" s="386">
        <v>46174</v>
      </c>
      <c r="C43" s="389" t="s">
        <v>166</v>
      </c>
      <c r="D43" s="398" t="s">
        <v>1210</v>
      </c>
      <c r="E43" s="404">
        <v>715.05</v>
      </c>
      <c r="F43" s="397" t="s">
        <v>2076</v>
      </c>
      <c r="G43" s="389" t="s">
        <v>280</v>
      </c>
      <c r="H43" s="398" t="s">
        <v>1442</v>
      </c>
      <c r="I43" s="399" t="s">
        <v>1955</v>
      </c>
      <c r="J43" s="425" t="s">
        <v>572</v>
      </c>
    </row>
    <row r="44" spans="1:10" ht="36">
      <c r="A44" s="358">
        <v>37</v>
      </c>
      <c r="B44" s="386">
        <v>46174</v>
      </c>
      <c r="C44" s="389" t="s">
        <v>166</v>
      </c>
      <c r="D44" s="398" t="s">
        <v>1210</v>
      </c>
      <c r="E44" s="404">
        <v>455.4</v>
      </c>
      <c r="F44" s="397" t="s">
        <v>2076</v>
      </c>
      <c r="G44" s="389" t="s">
        <v>280</v>
      </c>
      <c r="H44" s="398" t="s">
        <v>1435</v>
      </c>
      <c r="I44" s="399" t="s">
        <v>1956</v>
      </c>
      <c r="J44" s="425" t="s">
        <v>574</v>
      </c>
    </row>
    <row r="45" spans="1:10" ht="36">
      <c r="A45" s="357">
        <v>38</v>
      </c>
      <c r="B45" s="386">
        <v>46174</v>
      </c>
      <c r="C45" s="389" t="s">
        <v>166</v>
      </c>
      <c r="D45" s="398" t="s">
        <v>1210</v>
      </c>
      <c r="E45" s="404">
        <v>1118.9100000000001</v>
      </c>
      <c r="F45" s="397" t="s">
        <v>2076</v>
      </c>
      <c r="G45" s="389" t="s">
        <v>280</v>
      </c>
      <c r="H45" s="398" t="s">
        <v>1448</v>
      </c>
      <c r="I45" s="399" t="s">
        <v>1957</v>
      </c>
      <c r="J45" s="425" t="s">
        <v>574</v>
      </c>
    </row>
    <row r="46" spans="1:10" ht="36">
      <c r="A46" s="357">
        <v>39</v>
      </c>
      <c r="B46" s="386">
        <v>46174</v>
      </c>
      <c r="C46" s="389" t="s">
        <v>166</v>
      </c>
      <c r="D46" s="398" t="s">
        <v>1210</v>
      </c>
      <c r="E46" s="404">
        <v>3762.74</v>
      </c>
      <c r="F46" s="397" t="s">
        <v>2076</v>
      </c>
      <c r="G46" s="389" t="s">
        <v>280</v>
      </c>
      <c r="H46" s="398" t="s">
        <v>1446</v>
      </c>
      <c r="I46" s="399" t="s">
        <v>1958</v>
      </c>
      <c r="J46" s="390" t="s">
        <v>574</v>
      </c>
    </row>
    <row r="47" spans="1:10" ht="24">
      <c r="A47" s="358">
        <v>40</v>
      </c>
      <c r="B47" s="386">
        <v>46174</v>
      </c>
      <c r="C47" s="389" t="s">
        <v>166</v>
      </c>
      <c r="D47" s="398" t="s">
        <v>1210</v>
      </c>
      <c r="E47" s="404">
        <v>2608.42</v>
      </c>
      <c r="F47" s="397" t="s">
        <v>2076</v>
      </c>
      <c r="G47" s="389" t="s">
        <v>280</v>
      </c>
      <c r="H47" s="398" t="s">
        <v>1437</v>
      </c>
      <c r="I47" s="399" t="s">
        <v>1959</v>
      </c>
      <c r="J47" s="390" t="s">
        <v>572</v>
      </c>
    </row>
    <row r="48" spans="1:10" ht="36">
      <c r="A48" s="357">
        <v>126</v>
      </c>
      <c r="B48" s="386">
        <v>46174</v>
      </c>
      <c r="C48" s="389" t="s">
        <v>166</v>
      </c>
      <c r="D48" s="398" t="s">
        <v>1217</v>
      </c>
      <c r="E48" s="404">
        <v>3495.9</v>
      </c>
      <c r="F48" s="397" t="s">
        <v>2079</v>
      </c>
      <c r="G48" s="389" t="s">
        <v>280</v>
      </c>
      <c r="H48" s="398" t="s">
        <v>1129</v>
      </c>
      <c r="I48" s="399" t="s">
        <v>1960</v>
      </c>
      <c r="J48" s="360" t="s">
        <v>574</v>
      </c>
    </row>
    <row r="49" spans="1:10" ht="25.5">
      <c r="A49" s="358">
        <v>127</v>
      </c>
      <c r="B49" s="386">
        <v>46174</v>
      </c>
      <c r="C49" s="389" t="s">
        <v>166</v>
      </c>
      <c r="D49" s="398" t="s">
        <v>245</v>
      </c>
      <c r="E49" s="404">
        <v>13207.11</v>
      </c>
      <c r="F49" s="397" t="s">
        <v>2080</v>
      </c>
      <c r="G49" s="389" t="s">
        <v>280</v>
      </c>
      <c r="H49" s="398" t="s">
        <v>668</v>
      </c>
      <c r="I49" s="399" t="s">
        <v>760</v>
      </c>
      <c r="J49" s="451" t="s">
        <v>572</v>
      </c>
    </row>
    <row r="50" spans="1:10" ht="25.5">
      <c r="A50" s="357">
        <v>128</v>
      </c>
      <c r="B50" s="386">
        <v>46174</v>
      </c>
      <c r="C50" s="389" t="s">
        <v>166</v>
      </c>
      <c r="D50" s="394" t="s">
        <v>1</v>
      </c>
      <c r="E50" s="404">
        <v>220332.12</v>
      </c>
      <c r="F50" s="397" t="s">
        <v>1949</v>
      </c>
      <c r="G50" s="389" t="s">
        <v>280</v>
      </c>
      <c r="H50" s="398" t="s">
        <v>672</v>
      </c>
      <c r="I50" s="399" t="s">
        <v>761</v>
      </c>
      <c r="J50" s="451" t="s">
        <v>572</v>
      </c>
    </row>
    <row r="51" spans="1:10" ht="25.5">
      <c r="A51" s="357">
        <v>129</v>
      </c>
      <c r="B51" s="386">
        <v>46174</v>
      </c>
      <c r="C51" s="389" t="s">
        <v>166</v>
      </c>
      <c r="D51" s="394" t="s">
        <v>1</v>
      </c>
      <c r="E51" s="404">
        <v>106972.12</v>
      </c>
      <c r="F51" s="397" t="s">
        <v>2081</v>
      </c>
      <c r="G51" s="389" t="s">
        <v>280</v>
      </c>
      <c r="H51" s="398" t="s">
        <v>668</v>
      </c>
      <c r="I51" s="399" t="s">
        <v>760</v>
      </c>
      <c r="J51" s="451" t="s">
        <v>572</v>
      </c>
    </row>
    <row r="52" spans="1:10" ht="25.5">
      <c r="A52" s="357">
        <v>130</v>
      </c>
      <c r="B52" s="386">
        <v>46174</v>
      </c>
      <c r="C52" s="389" t="s">
        <v>166</v>
      </c>
      <c r="D52" s="394" t="s">
        <v>234</v>
      </c>
      <c r="E52" s="404">
        <v>355428.06</v>
      </c>
      <c r="F52" s="397" t="s">
        <v>2082</v>
      </c>
      <c r="G52" s="389" t="s">
        <v>280</v>
      </c>
      <c r="H52" s="398" t="s">
        <v>668</v>
      </c>
      <c r="I52" s="399" t="s">
        <v>760</v>
      </c>
      <c r="J52" s="451" t="s">
        <v>572</v>
      </c>
    </row>
    <row r="53" spans="1:10" ht="36">
      <c r="A53" s="357">
        <v>131</v>
      </c>
      <c r="B53" s="386">
        <v>46143</v>
      </c>
      <c r="C53" s="392" t="s">
        <v>248</v>
      </c>
      <c r="D53" s="392" t="s">
        <v>142</v>
      </c>
      <c r="E53" s="426">
        <v>178521</v>
      </c>
      <c r="F53" s="445" t="s">
        <v>799</v>
      </c>
      <c r="G53" s="389" t="s">
        <v>738</v>
      </c>
      <c r="H53" s="417" t="s">
        <v>762</v>
      </c>
      <c r="I53" s="399" t="s">
        <v>769</v>
      </c>
      <c r="J53" s="360" t="s">
        <v>574</v>
      </c>
    </row>
    <row r="54" spans="1:10" ht="36">
      <c r="A54" s="357">
        <v>132</v>
      </c>
      <c r="B54" s="386">
        <v>46174</v>
      </c>
      <c r="C54" s="392" t="s">
        <v>248</v>
      </c>
      <c r="D54" s="392" t="s">
        <v>142</v>
      </c>
      <c r="E54" s="426">
        <v>239586</v>
      </c>
      <c r="F54" s="445" t="s">
        <v>799</v>
      </c>
      <c r="G54" s="389" t="s">
        <v>738</v>
      </c>
      <c r="H54" s="417" t="s">
        <v>762</v>
      </c>
      <c r="I54" s="399" t="s">
        <v>769</v>
      </c>
      <c r="J54" s="360" t="s">
        <v>574</v>
      </c>
    </row>
    <row r="55" spans="1:10" ht="24">
      <c r="A55" s="357">
        <v>133</v>
      </c>
      <c r="B55" s="386">
        <v>46174</v>
      </c>
      <c r="C55" s="392" t="s">
        <v>248</v>
      </c>
      <c r="D55" s="469" t="s">
        <v>490</v>
      </c>
      <c r="E55" s="470">
        <v>109168</v>
      </c>
      <c r="F55" s="417" t="s">
        <v>1961</v>
      </c>
      <c r="G55" s="392" t="s">
        <v>736</v>
      </c>
      <c r="H55" s="417" t="s">
        <v>1962</v>
      </c>
      <c r="I55" s="399" t="s">
        <v>1963</v>
      </c>
      <c r="J55" s="360" t="s">
        <v>868</v>
      </c>
    </row>
    <row r="56" spans="1:10" ht="24">
      <c r="A56" s="357">
        <v>134</v>
      </c>
      <c r="B56" s="386">
        <v>46174</v>
      </c>
      <c r="C56" s="392" t="s">
        <v>248</v>
      </c>
      <c r="D56" s="469" t="s">
        <v>490</v>
      </c>
      <c r="E56" s="470">
        <v>27000</v>
      </c>
      <c r="F56" s="417" t="s">
        <v>1964</v>
      </c>
      <c r="G56" s="392" t="s">
        <v>736</v>
      </c>
      <c r="H56" s="394" t="s">
        <v>1061</v>
      </c>
      <c r="I56" s="399" t="s">
        <v>1965</v>
      </c>
      <c r="J56" s="360" t="s">
        <v>868</v>
      </c>
    </row>
    <row r="57" spans="1:10" ht="24">
      <c r="A57" s="357">
        <v>135</v>
      </c>
      <c r="B57" s="386">
        <v>46174</v>
      </c>
      <c r="C57" s="392" t="s">
        <v>248</v>
      </c>
      <c r="D57" s="417" t="s">
        <v>601</v>
      </c>
      <c r="E57" s="470">
        <v>11484.49</v>
      </c>
      <c r="F57" s="417" t="s">
        <v>1966</v>
      </c>
      <c r="G57" s="392" t="s">
        <v>278</v>
      </c>
      <c r="H57" s="417" t="s">
        <v>1967</v>
      </c>
      <c r="I57" s="399" t="s">
        <v>1968</v>
      </c>
      <c r="J57" s="360" t="s">
        <v>868</v>
      </c>
    </row>
    <row r="58" spans="1:10" ht="48">
      <c r="A58" s="358">
        <v>136</v>
      </c>
      <c r="B58" s="386">
        <v>46174</v>
      </c>
      <c r="C58" s="392" t="s">
        <v>248</v>
      </c>
      <c r="D58" s="417" t="s">
        <v>596</v>
      </c>
      <c r="E58" s="470">
        <v>10684.78</v>
      </c>
      <c r="F58" s="417" t="s">
        <v>1969</v>
      </c>
      <c r="G58" s="392" t="s">
        <v>737</v>
      </c>
      <c r="H58" s="417" t="s">
        <v>1970</v>
      </c>
      <c r="I58" s="399" t="s">
        <v>1971</v>
      </c>
      <c r="J58" s="360" t="s">
        <v>868</v>
      </c>
    </row>
    <row r="59" spans="1:10" ht="60">
      <c r="A59" s="357">
        <v>137</v>
      </c>
      <c r="B59" s="386">
        <v>46174</v>
      </c>
      <c r="C59" s="392" t="s">
        <v>248</v>
      </c>
      <c r="D59" s="417" t="s">
        <v>1213</v>
      </c>
      <c r="E59" s="470">
        <v>9000</v>
      </c>
      <c r="F59" s="417" t="s">
        <v>2083</v>
      </c>
      <c r="G59" s="392" t="s">
        <v>278</v>
      </c>
      <c r="H59" s="398" t="s">
        <v>1105</v>
      </c>
      <c r="I59" s="399" t="s">
        <v>1972</v>
      </c>
      <c r="J59" s="360" t="s">
        <v>868</v>
      </c>
    </row>
    <row r="60" spans="1:10" ht="24">
      <c r="A60" s="357">
        <v>138</v>
      </c>
      <c r="B60" s="386">
        <v>46174</v>
      </c>
      <c r="C60" s="392" t="s">
        <v>248</v>
      </c>
      <c r="D60" s="417" t="s">
        <v>1973</v>
      </c>
      <c r="E60" s="470">
        <v>7744.46</v>
      </c>
      <c r="F60" s="417" t="s">
        <v>2084</v>
      </c>
      <c r="G60" s="392" t="s">
        <v>278</v>
      </c>
      <c r="H60" s="417" t="s">
        <v>1974</v>
      </c>
      <c r="I60" s="399" t="s">
        <v>1975</v>
      </c>
      <c r="J60" s="360" t="s">
        <v>868</v>
      </c>
    </row>
    <row r="61" spans="1:10" ht="84">
      <c r="A61" s="357">
        <v>139</v>
      </c>
      <c r="B61" s="386">
        <v>46174</v>
      </c>
      <c r="C61" s="392" t="s">
        <v>248</v>
      </c>
      <c r="D61" s="417" t="s">
        <v>1976</v>
      </c>
      <c r="E61" s="470">
        <v>7168.52</v>
      </c>
      <c r="F61" s="417" t="s">
        <v>2085</v>
      </c>
      <c r="G61" s="392" t="s">
        <v>278</v>
      </c>
      <c r="H61" s="417" t="s">
        <v>1977</v>
      </c>
      <c r="I61" s="399" t="s">
        <v>1978</v>
      </c>
      <c r="J61" s="360" t="s">
        <v>868</v>
      </c>
    </row>
    <row r="62" spans="1:10" ht="60">
      <c r="A62" s="357">
        <v>140</v>
      </c>
      <c r="B62" s="386">
        <v>46174</v>
      </c>
      <c r="C62" s="392" t="s">
        <v>248</v>
      </c>
      <c r="D62" s="469" t="s">
        <v>1979</v>
      </c>
      <c r="E62" s="470">
        <v>52236.55</v>
      </c>
      <c r="F62" s="417" t="s">
        <v>1980</v>
      </c>
      <c r="G62" s="392" t="s">
        <v>738</v>
      </c>
      <c r="H62" s="417" t="s">
        <v>1981</v>
      </c>
      <c r="I62" s="399" t="s">
        <v>1982</v>
      </c>
      <c r="J62" s="360" t="s">
        <v>868</v>
      </c>
    </row>
    <row r="63" spans="1:10" ht="36">
      <c r="A63" s="357">
        <v>141</v>
      </c>
      <c r="B63" s="386">
        <v>46174</v>
      </c>
      <c r="C63" s="392" t="s">
        <v>248</v>
      </c>
      <c r="D63" s="469" t="s">
        <v>477</v>
      </c>
      <c r="E63" s="470">
        <v>92065</v>
      </c>
      <c r="F63" s="417" t="s">
        <v>1983</v>
      </c>
      <c r="G63" s="392" t="s">
        <v>738</v>
      </c>
      <c r="H63" s="417" t="s">
        <v>1984</v>
      </c>
      <c r="I63" s="399" t="s">
        <v>1985</v>
      </c>
      <c r="J63" s="360" t="s">
        <v>868</v>
      </c>
    </row>
    <row r="64" spans="1:10" ht="36">
      <c r="A64" s="357">
        <v>142</v>
      </c>
      <c r="B64" s="386">
        <v>46174</v>
      </c>
      <c r="C64" s="392" t="s">
        <v>248</v>
      </c>
      <c r="D64" s="417" t="s">
        <v>604</v>
      </c>
      <c r="E64" s="470">
        <v>25144.78</v>
      </c>
      <c r="F64" s="417" t="s">
        <v>1986</v>
      </c>
      <c r="G64" s="392" t="s">
        <v>736</v>
      </c>
      <c r="H64" s="417" t="s">
        <v>1987</v>
      </c>
      <c r="I64" s="399" t="s">
        <v>1988</v>
      </c>
      <c r="J64" s="360" t="s">
        <v>868</v>
      </c>
    </row>
    <row r="65" spans="1:10" ht="24">
      <c r="A65" s="357">
        <v>143</v>
      </c>
      <c r="B65" s="386">
        <v>46174</v>
      </c>
      <c r="C65" s="392" t="s">
        <v>248</v>
      </c>
      <c r="D65" s="469" t="s">
        <v>494</v>
      </c>
      <c r="E65" s="470">
        <v>25335</v>
      </c>
      <c r="F65" s="417" t="s">
        <v>1989</v>
      </c>
      <c r="G65" s="392" t="s">
        <v>736</v>
      </c>
      <c r="H65" s="417" t="s">
        <v>1990</v>
      </c>
      <c r="I65" s="399" t="s">
        <v>1991</v>
      </c>
      <c r="J65" s="360" t="s">
        <v>868</v>
      </c>
    </row>
    <row r="66" spans="1:10" ht="36">
      <c r="A66" s="357">
        <v>144</v>
      </c>
      <c r="B66" s="386">
        <v>46174</v>
      </c>
      <c r="C66" s="392" t="s">
        <v>248</v>
      </c>
      <c r="D66" s="417" t="s">
        <v>595</v>
      </c>
      <c r="E66" s="470">
        <v>3899.23</v>
      </c>
      <c r="F66" s="417" t="s">
        <v>1992</v>
      </c>
      <c r="G66" s="392" t="s">
        <v>736</v>
      </c>
      <c r="H66" s="417" t="s">
        <v>1993</v>
      </c>
      <c r="I66" s="399" t="s">
        <v>1994</v>
      </c>
      <c r="J66" s="360" t="s">
        <v>868</v>
      </c>
    </row>
    <row r="67" spans="1:10" ht="36">
      <c r="A67" s="358">
        <v>145</v>
      </c>
      <c r="B67" s="386">
        <v>46174</v>
      </c>
      <c r="C67" s="471" t="s">
        <v>360</v>
      </c>
      <c r="D67" s="471" t="s">
        <v>360</v>
      </c>
      <c r="E67" s="184">
        <v>7695</v>
      </c>
      <c r="F67" s="183" t="s">
        <v>798</v>
      </c>
      <c r="G67" s="350" t="s">
        <v>280</v>
      </c>
      <c r="H67" s="183" t="s">
        <v>744</v>
      </c>
      <c r="I67" s="399" t="s">
        <v>1950</v>
      </c>
      <c r="J67" s="360" t="s">
        <v>574</v>
      </c>
    </row>
    <row r="68" spans="1:10" ht="24">
      <c r="A68" s="357">
        <v>146</v>
      </c>
      <c r="B68" s="386">
        <v>46174</v>
      </c>
      <c r="C68" s="392" t="s">
        <v>360</v>
      </c>
      <c r="D68" s="392" t="s">
        <v>360</v>
      </c>
      <c r="E68" s="426">
        <v>18084</v>
      </c>
      <c r="F68" s="392" t="s">
        <v>798</v>
      </c>
      <c r="G68" s="389" t="s">
        <v>280</v>
      </c>
      <c r="H68" s="392" t="s">
        <v>744</v>
      </c>
      <c r="I68" s="399" t="s">
        <v>1950</v>
      </c>
      <c r="J68" s="360" t="s">
        <v>572</v>
      </c>
    </row>
    <row r="69" spans="1:10" ht="36">
      <c r="A69" s="357">
        <v>147</v>
      </c>
      <c r="B69" s="386">
        <v>46174</v>
      </c>
      <c r="C69" s="392" t="s">
        <v>248</v>
      </c>
      <c r="D69" s="392" t="s">
        <v>454</v>
      </c>
      <c r="E69" s="426">
        <v>26330</v>
      </c>
      <c r="F69" s="392" t="s">
        <v>2086</v>
      </c>
      <c r="G69" s="389" t="s">
        <v>736</v>
      </c>
      <c r="H69" s="392" t="s">
        <v>744</v>
      </c>
      <c r="I69" s="399" t="s">
        <v>1950</v>
      </c>
      <c r="J69" s="360" t="s">
        <v>574</v>
      </c>
    </row>
    <row r="70" spans="1:10">
      <c r="A70" s="357"/>
      <c r="B70" s="386"/>
      <c r="C70" s="392"/>
      <c r="D70" s="392"/>
      <c r="E70" s="426"/>
      <c r="F70" s="392"/>
      <c r="G70" s="389"/>
      <c r="H70" s="392"/>
      <c r="I70" s="399"/>
      <c r="J70" s="360"/>
    </row>
    <row r="71" spans="1:10" hidden="1">
      <c r="A71" s="357">
        <v>149</v>
      </c>
      <c r="B71" s="182"/>
      <c r="C71" s="183"/>
      <c r="D71" s="183"/>
      <c r="E71" s="184"/>
      <c r="F71" s="183"/>
      <c r="G71" s="350"/>
      <c r="H71" s="183"/>
      <c r="I71" s="355"/>
      <c r="J71" s="360"/>
    </row>
    <row r="72" spans="1:10" hidden="1">
      <c r="A72" s="357">
        <v>150</v>
      </c>
      <c r="B72" s="182"/>
      <c r="C72" s="183"/>
      <c r="D72" s="183"/>
      <c r="E72" s="184"/>
      <c r="F72" s="183"/>
      <c r="G72" s="350"/>
      <c r="H72" s="183"/>
      <c r="I72" s="355"/>
      <c r="J72" s="360"/>
    </row>
    <row r="73" spans="1:10" hidden="1">
      <c r="A73" s="357">
        <v>151</v>
      </c>
      <c r="B73" s="182"/>
      <c r="C73" s="183"/>
      <c r="D73" s="183"/>
      <c r="E73" s="184"/>
      <c r="F73" s="183"/>
      <c r="G73" s="350"/>
      <c r="H73" s="183"/>
      <c r="I73" s="355"/>
      <c r="J73" s="360"/>
    </row>
    <row r="74" spans="1:10" hidden="1">
      <c r="A74" s="357">
        <v>152</v>
      </c>
      <c r="B74" s="182"/>
      <c r="C74" s="183"/>
      <c r="D74" s="183"/>
      <c r="E74" s="184"/>
      <c r="F74" s="183"/>
      <c r="G74" s="350"/>
      <c r="H74" s="183"/>
      <c r="I74" s="355"/>
      <c r="J74" s="360"/>
    </row>
    <row r="75" spans="1:10" hidden="1">
      <c r="A75" s="357">
        <v>153</v>
      </c>
      <c r="B75" s="182"/>
      <c r="C75" s="183"/>
      <c r="D75" s="183"/>
      <c r="E75" s="184"/>
      <c r="F75" s="183"/>
      <c r="G75" s="350"/>
      <c r="H75" s="183"/>
      <c r="I75" s="355"/>
      <c r="J75" s="360"/>
    </row>
    <row r="76" spans="1:10" hidden="1">
      <c r="A76" s="358">
        <v>154</v>
      </c>
      <c r="B76" s="182"/>
      <c r="C76" s="183"/>
      <c r="D76" s="183"/>
      <c r="E76" s="184"/>
      <c r="F76" s="183"/>
      <c r="G76" s="350"/>
      <c r="H76" s="183"/>
      <c r="I76" s="355"/>
      <c r="J76" s="360"/>
    </row>
    <row r="77" spans="1:10" hidden="1">
      <c r="A77" s="357">
        <v>155</v>
      </c>
      <c r="B77" s="182"/>
      <c r="C77" s="183"/>
      <c r="D77" s="183"/>
      <c r="E77" s="184"/>
      <c r="F77" s="183"/>
      <c r="G77" s="350"/>
      <c r="H77" s="183"/>
      <c r="I77" s="355"/>
      <c r="J77" s="360"/>
    </row>
    <row r="78" spans="1:10" hidden="1">
      <c r="A78" s="357">
        <v>156</v>
      </c>
      <c r="B78" s="182"/>
      <c r="C78" s="183"/>
      <c r="D78" s="183"/>
      <c r="E78" s="184"/>
      <c r="F78" s="183"/>
      <c r="G78" s="350"/>
      <c r="H78" s="183"/>
      <c r="I78" s="355"/>
      <c r="J78" s="360"/>
    </row>
    <row r="79" spans="1:10" hidden="1">
      <c r="A79" s="357">
        <v>157</v>
      </c>
      <c r="B79" s="182"/>
      <c r="C79" s="183"/>
      <c r="D79" s="183"/>
      <c r="E79" s="184"/>
      <c r="F79" s="183"/>
      <c r="G79" s="350"/>
      <c r="H79" s="183"/>
      <c r="I79" s="355"/>
      <c r="J79" s="360"/>
    </row>
    <row r="80" spans="1:10" hidden="1">
      <c r="A80" s="357">
        <v>158</v>
      </c>
      <c r="B80" s="182"/>
      <c r="C80" s="183"/>
      <c r="D80" s="183"/>
      <c r="E80" s="184"/>
      <c r="F80" s="183"/>
      <c r="G80" s="350"/>
      <c r="H80" s="183"/>
      <c r="I80" s="355"/>
      <c r="J80" s="360"/>
    </row>
    <row r="81" spans="1:10" hidden="1">
      <c r="A81" s="357">
        <v>159</v>
      </c>
      <c r="B81" s="182"/>
      <c r="C81" s="183"/>
      <c r="D81" s="183"/>
      <c r="E81" s="184"/>
      <c r="F81" s="183"/>
      <c r="G81" s="350"/>
      <c r="H81" s="183"/>
      <c r="I81" s="355"/>
      <c r="J81" s="360"/>
    </row>
    <row r="82" spans="1:10" hidden="1">
      <c r="A82" s="357">
        <v>160</v>
      </c>
      <c r="B82" s="182"/>
      <c r="C82" s="183"/>
      <c r="D82" s="183"/>
      <c r="E82" s="184"/>
      <c r="F82" s="183"/>
      <c r="G82" s="350"/>
      <c r="H82" s="183"/>
      <c r="I82" s="355"/>
      <c r="J82" s="360"/>
    </row>
    <row r="83" spans="1:10" hidden="1">
      <c r="A83" s="357">
        <v>161</v>
      </c>
      <c r="B83" s="182"/>
      <c r="C83" s="183"/>
      <c r="D83" s="183"/>
      <c r="E83" s="184"/>
      <c r="F83" s="183"/>
      <c r="G83" s="350"/>
      <c r="H83" s="183"/>
      <c r="I83" s="355"/>
      <c r="J83" s="360"/>
    </row>
    <row r="84" spans="1:10" hidden="1">
      <c r="A84" s="357">
        <v>162</v>
      </c>
      <c r="B84" s="182"/>
      <c r="C84" s="183"/>
      <c r="D84" s="183"/>
      <c r="E84" s="184"/>
      <c r="F84" s="183"/>
      <c r="G84" s="350"/>
      <c r="H84" s="183"/>
      <c r="I84" s="355"/>
      <c r="J84" s="360"/>
    </row>
    <row r="85" spans="1:10" hidden="1">
      <c r="A85" s="358">
        <v>163</v>
      </c>
      <c r="B85" s="182"/>
      <c r="C85" s="183"/>
      <c r="D85" s="183"/>
      <c r="E85" s="184"/>
      <c r="F85" s="183"/>
      <c r="G85" s="350"/>
      <c r="H85" s="183"/>
      <c r="I85" s="355"/>
      <c r="J85" s="360"/>
    </row>
    <row r="86" spans="1:10" hidden="1">
      <c r="A86" s="357">
        <v>164</v>
      </c>
      <c r="B86" s="182"/>
      <c r="C86" s="183"/>
      <c r="D86" s="183"/>
      <c r="E86" s="184"/>
      <c r="F86" s="183"/>
      <c r="G86" s="350"/>
      <c r="H86" s="183"/>
      <c r="I86" s="355"/>
      <c r="J86" s="360"/>
    </row>
    <row r="87" spans="1:10" hidden="1">
      <c r="A87" s="357">
        <v>165</v>
      </c>
      <c r="B87" s="182"/>
      <c r="C87" s="183"/>
      <c r="D87" s="183"/>
      <c r="E87" s="184"/>
      <c r="F87" s="183"/>
      <c r="G87" s="350"/>
      <c r="H87" s="183"/>
      <c r="I87" s="355"/>
      <c r="J87" s="360"/>
    </row>
    <row r="88" spans="1:10" hidden="1">
      <c r="A88" s="357">
        <v>166</v>
      </c>
      <c r="B88" s="182"/>
      <c r="C88" s="183"/>
      <c r="D88" s="183"/>
      <c r="E88" s="184"/>
      <c r="F88" s="183"/>
      <c r="G88" s="350"/>
      <c r="H88" s="183"/>
      <c r="I88" s="355"/>
      <c r="J88" s="360"/>
    </row>
    <row r="89" spans="1:10" hidden="1">
      <c r="A89" s="357">
        <v>167</v>
      </c>
      <c r="B89" s="182"/>
      <c r="C89" s="183"/>
      <c r="D89" s="183"/>
      <c r="E89" s="184"/>
      <c r="F89" s="183"/>
      <c r="G89" s="350"/>
      <c r="H89" s="183"/>
      <c r="I89" s="355"/>
      <c r="J89" s="360"/>
    </row>
    <row r="90" spans="1:10" hidden="1">
      <c r="A90" s="357">
        <v>168</v>
      </c>
      <c r="B90" s="182"/>
      <c r="C90" s="183"/>
      <c r="D90" s="183"/>
      <c r="E90" s="184"/>
      <c r="F90" s="183"/>
      <c r="G90" s="350"/>
      <c r="H90" s="183"/>
      <c r="I90" s="355"/>
      <c r="J90" s="360"/>
    </row>
    <row r="91" spans="1:10" hidden="1">
      <c r="A91" s="357">
        <v>169</v>
      </c>
      <c r="B91" s="182"/>
      <c r="C91" s="183"/>
      <c r="D91" s="183"/>
      <c r="E91" s="184"/>
      <c r="F91" s="183"/>
      <c r="G91" s="350"/>
      <c r="H91" s="183"/>
      <c r="I91" s="355"/>
      <c r="J91" s="360"/>
    </row>
    <row r="92" spans="1:10" hidden="1">
      <c r="A92" s="357">
        <v>170</v>
      </c>
      <c r="B92" s="182"/>
      <c r="C92" s="183"/>
      <c r="D92" s="183"/>
      <c r="E92" s="184"/>
      <c r="F92" s="183"/>
      <c r="G92" s="350"/>
      <c r="H92" s="183"/>
      <c r="I92" s="355"/>
      <c r="J92" s="360"/>
    </row>
    <row r="93" spans="1:10" hidden="1">
      <c r="A93" s="357">
        <v>171</v>
      </c>
      <c r="B93" s="182"/>
      <c r="C93" s="183"/>
      <c r="D93" s="183"/>
      <c r="E93" s="184"/>
      <c r="F93" s="183"/>
      <c r="G93" s="350"/>
      <c r="H93" s="183"/>
      <c r="I93" s="355"/>
      <c r="J93" s="360"/>
    </row>
    <row r="94" spans="1:10" hidden="1">
      <c r="A94" s="358">
        <v>172</v>
      </c>
      <c r="B94" s="182"/>
      <c r="C94" s="183"/>
      <c r="D94" s="183"/>
      <c r="E94" s="184"/>
      <c r="F94" s="183"/>
      <c r="G94" s="350"/>
      <c r="H94" s="183"/>
      <c r="I94" s="355"/>
      <c r="J94" s="360"/>
    </row>
    <row r="95" spans="1:10" hidden="1">
      <c r="A95" s="357">
        <v>173</v>
      </c>
      <c r="B95" s="182"/>
      <c r="C95" s="183"/>
      <c r="D95" s="183"/>
      <c r="E95" s="184"/>
      <c r="F95" s="183"/>
      <c r="G95" s="350"/>
      <c r="H95" s="183"/>
      <c r="I95" s="355"/>
      <c r="J95" s="360"/>
    </row>
    <row r="96" spans="1:10" hidden="1">
      <c r="A96" s="357">
        <v>174</v>
      </c>
      <c r="B96" s="182"/>
      <c r="C96" s="183"/>
      <c r="D96" s="183"/>
      <c r="E96" s="184"/>
      <c r="F96" s="183"/>
      <c r="G96" s="350"/>
      <c r="H96" s="183"/>
      <c r="I96" s="355"/>
      <c r="J96" s="360"/>
    </row>
    <row r="97" spans="1:10" hidden="1">
      <c r="A97" s="357">
        <v>175</v>
      </c>
      <c r="B97" s="182"/>
      <c r="C97" s="183"/>
      <c r="D97" s="183"/>
      <c r="E97" s="184"/>
      <c r="F97" s="183"/>
      <c r="G97" s="350"/>
      <c r="H97" s="183"/>
      <c r="I97" s="355"/>
      <c r="J97" s="360"/>
    </row>
    <row r="98" spans="1:10" hidden="1">
      <c r="A98" s="357">
        <v>176</v>
      </c>
      <c r="B98" s="182"/>
      <c r="C98" s="183"/>
      <c r="D98" s="183"/>
      <c r="E98" s="184"/>
      <c r="F98" s="183"/>
      <c r="G98" s="350"/>
      <c r="H98" s="183"/>
      <c r="I98" s="355"/>
      <c r="J98" s="360"/>
    </row>
    <row r="99" spans="1:10" hidden="1">
      <c r="A99" s="357">
        <v>177</v>
      </c>
      <c r="B99" s="182"/>
      <c r="C99" s="183"/>
      <c r="D99" s="183"/>
      <c r="E99" s="184"/>
      <c r="F99" s="183"/>
      <c r="G99" s="350"/>
      <c r="H99" s="183"/>
      <c r="I99" s="355"/>
      <c r="J99" s="360"/>
    </row>
    <row r="100" spans="1:10" hidden="1">
      <c r="A100" s="357">
        <v>178</v>
      </c>
      <c r="B100" s="182"/>
      <c r="C100" s="183"/>
      <c r="D100" s="183"/>
      <c r="E100" s="184"/>
      <c r="F100" s="183"/>
      <c r="G100" s="350"/>
      <c r="H100" s="183"/>
      <c r="I100" s="355"/>
      <c r="J100" s="360"/>
    </row>
    <row r="101" spans="1:10" hidden="1">
      <c r="A101" s="357">
        <v>179</v>
      </c>
      <c r="B101" s="182"/>
      <c r="C101" s="183"/>
      <c r="D101" s="183"/>
      <c r="E101" s="184"/>
      <c r="F101" s="183"/>
      <c r="G101" s="350"/>
      <c r="H101" s="183"/>
      <c r="I101" s="355"/>
      <c r="J101" s="360"/>
    </row>
    <row r="102" spans="1:10" hidden="1">
      <c r="A102" s="357">
        <v>180</v>
      </c>
      <c r="B102" s="182"/>
      <c r="C102" s="183"/>
      <c r="D102" s="183"/>
      <c r="E102" s="184"/>
      <c r="F102" s="183"/>
      <c r="G102" s="350"/>
      <c r="H102" s="183"/>
      <c r="I102" s="355"/>
      <c r="J102" s="360"/>
    </row>
    <row r="103" spans="1:10" hidden="1">
      <c r="A103" s="358">
        <v>181</v>
      </c>
      <c r="B103" s="182"/>
      <c r="C103" s="183"/>
      <c r="D103" s="183"/>
      <c r="E103" s="184"/>
      <c r="F103" s="183"/>
      <c r="G103" s="350"/>
      <c r="H103" s="183"/>
      <c r="I103" s="355"/>
      <c r="J103" s="360"/>
    </row>
    <row r="104" spans="1:10" hidden="1">
      <c r="A104" s="357">
        <v>182</v>
      </c>
      <c r="B104" s="182"/>
      <c r="C104" s="183"/>
      <c r="D104" s="183"/>
      <c r="E104" s="184"/>
      <c r="F104" s="183"/>
      <c r="G104" s="350"/>
      <c r="H104" s="183"/>
      <c r="I104" s="355"/>
      <c r="J104" s="360"/>
    </row>
    <row r="105" spans="1:10" hidden="1">
      <c r="A105" s="357">
        <v>183</v>
      </c>
      <c r="B105" s="182"/>
      <c r="C105" s="183"/>
      <c r="D105" s="183"/>
      <c r="E105" s="184"/>
      <c r="F105" s="183"/>
      <c r="G105" s="350"/>
      <c r="H105" s="183"/>
      <c r="I105" s="355"/>
      <c r="J105" s="360"/>
    </row>
    <row r="106" spans="1:10" hidden="1">
      <c r="A106" s="357">
        <v>184</v>
      </c>
      <c r="B106" s="182"/>
      <c r="C106" s="183"/>
      <c r="D106" s="183"/>
      <c r="E106" s="184"/>
      <c r="F106" s="183"/>
      <c r="G106" s="350"/>
      <c r="H106" s="183"/>
      <c r="I106" s="355"/>
      <c r="J106" s="360"/>
    </row>
    <row r="107" spans="1:10" hidden="1">
      <c r="A107" s="357">
        <v>185</v>
      </c>
      <c r="B107" s="182"/>
      <c r="C107" s="183"/>
      <c r="D107" s="183"/>
      <c r="E107" s="184"/>
      <c r="F107" s="183"/>
      <c r="G107" s="350"/>
      <c r="H107" s="183"/>
      <c r="I107" s="355"/>
      <c r="J107" s="360"/>
    </row>
    <row r="108" spans="1:10" hidden="1">
      <c r="A108" s="357">
        <v>186</v>
      </c>
      <c r="B108" s="182"/>
      <c r="C108" s="183"/>
      <c r="D108" s="183"/>
      <c r="E108" s="184"/>
      <c r="F108" s="183"/>
      <c r="G108" s="350"/>
      <c r="H108" s="183"/>
      <c r="I108" s="355"/>
      <c r="J108" s="360"/>
    </row>
    <row r="109" spans="1:10" hidden="1">
      <c r="A109" s="357">
        <v>187</v>
      </c>
      <c r="B109" s="182"/>
      <c r="C109" s="183"/>
      <c r="D109" s="183"/>
      <c r="E109" s="184"/>
      <c r="F109" s="183"/>
      <c r="G109" s="350"/>
      <c r="H109" s="183"/>
      <c r="I109" s="355"/>
      <c r="J109" s="360"/>
    </row>
    <row r="110" spans="1:10" hidden="1">
      <c r="A110" s="357">
        <v>188</v>
      </c>
      <c r="B110" s="182"/>
      <c r="C110" s="183"/>
      <c r="D110" s="183"/>
      <c r="E110" s="184"/>
      <c r="F110" s="183"/>
      <c r="G110" s="350"/>
      <c r="H110" s="183"/>
      <c r="I110" s="355"/>
      <c r="J110" s="360"/>
    </row>
    <row r="111" spans="1:10" hidden="1">
      <c r="A111" s="357">
        <v>189</v>
      </c>
      <c r="B111" s="182"/>
      <c r="C111" s="183"/>
      <c r="D111" s="183"/>
      <c r="E111" s="184"/>
      <c r="F111" s="183"/>
      <c r="G111" s="350"/>
      <c r="H111" s="183"/>
      <c r="I111" s="355"/>
      <c r="J111" s="360"/>
    </row>
    <row r="112" spans="1:10" hidden="1">
      <c r="A112" s="358">
        <v>190</v>
      </c>
      <c r="B112" s="182"/>
      <c r="C112" s="183"/>
      <c r="D112" s="183"/>
      <c r="E112" s="184"/>
      <c r="F112" s="183"/>
      <c r="G112" s="350"/>
      <c r="H112" s="183"/>
      <c r="I112" s="355"/>
      <c r="J112" s="360"/>
    </row>
    <row r="113" spans="1:10" hidden="1">
      <c r="A113" s="357">
        <v>191</v>
      </c>
      <c r="B113" s="182"/>
      <c r="C113" s="183"/>
      <c r="D113" s="183"/>
      <c r="E113" s="184"/>
      <c r="F113" s="183"/>
      <c r="G113" s="350"/>
      <c r="H113" s="183"/>
      <c r="I113" s="355"/>
      <c r="J113" s="360"/>
    </row>
    <row r="114" spans="1:10" hidden="1">
      <c r="A114" s="357">
        <v>192</v>
      </c>
      <c r="B114" s="182"/>
      <c r="C114" s="183"/>
      <c r="D114" s="183"/>
      <c r="E114" s="184"/>
      <c r="F114" s="183"/>
      <c r="G114" s="350"/>
      <c r="H114" s="183"/>
      <c r="I114" s="355"/>
      <c r="J114" s="360"/>
    </row>
    <row r="115" spans="1:10" hidden="1">
      <c r="A115" s="357">
        <v>193</v>
      </c>
      <c r="B115" s="182"/>
      <c r="C115" s="183"/>
      <c r="D115" s="183"/>
      <c r="E115" s="184"/>
      <c r="F115" s="183"/>
      <c r="G115" s="350"/>
      <c r="H115" s="183"/>
      <c r="I115" s="355"/>
      <c r="J115" s="360"/>
    </row>
    <row r="116" spans="1:10" hidden="1">
      <c r="A116" s="357">
        <v>194</v>
      </c>
      <c r="B116" s="182"/>
      <c r="C116" s="183"/>
      <c r="D116" s="183"/>
      <c r="E116" s="184"/>
      <c r="F116" s="183"/>
      <c r="G116" s="350"/>
      <c r="H116" s="183"/>
      <c r="I116" s="355"/>
      <c r="J116" s="360"/>
    </row>
    <row r="117" spans="1:10" hidden="1">
      <c r="A117" s="357">
        <v>195</v>
      </c>
      <c r="B117" s="182"/>
      <c r="C117" s="183"/>
      <c r="D117" s="183"/>
      <c r="E117" s="184"/>
      <c r="F117" s="183"/>
      <c r="G117" s="350"/>
      <c r="H117" s="183"/>
      <c r="I117" s="355"/>
      <c r="J117" s="360"/>
    </row>
    <row r="118" spans="1:10" hidden="1">
      <c r="A118" s="357">
        <v>196</v>
      </c>
      <c r="B118" s="182"/>
      <c r="C118" s="183"/>
      <c r="D118" s="183"/>
      <c r="E118" s="184"/>
      <c r="F118" s="183"/>
      <c r="G118" s="350"/>
      <c r="H118" s="183"/>
      <c r="I118" s="355"/>
      <c r="J118" s="360"/>
    </row>
    <row r="119" spans="1:10" hidden="1">
      <c r="A119" s="357">
        <v>197</v>
      </c>
      <c r="B119" s="182"/>
      <c r="C119" s="183"/>
      <c r="D119" s="183"/>
      <c r="E119" s="184"/>
      <c r="F119" s="183"/>
      <c r="G119" s="350"/>
      <c r="H119" s="183"/>
      <c r="I119" s="355"/>
      <c r="J119" s="360"/>
    </row>
    <row r="120" spans="1:10" hidden="1">
      <c r="A120" s="357">
        <v>198</v>
      </c>
      <c r="B120" s="182"/>
      <c r="C120" s="183"/>
      <c r="D120" s="183"/>
      <c r="E120" s="184"/>
      <c r="F120" s="183"/>
      <c r="G120" s="350"/>
      <c r="H120" s="183"/>
      <c r="I120" s="355"/>
      <c r="J120" s="360"/>
    </row>
    <row r="121" spans="1:10" hidden="1">
      <c r="A121" s="358">
        <v>199</v>
      </c>
      <c r="B121" s="182"/>
      <c r="C121" s="183"/>
      <c r="D121" s="183"/>
      <c r="E121" s="184"/>
      <c r="F121" s="183"/>
      <c r="G121" s="350"/>
      <c r="H121" s="183"/>
      <c r="I121" s="355"/>
      <c r="J121" s="360"/>
    </row>
    <row r="122" spans="1:10" hidden="1">
      <c r="A122" s="357">
        <v>200</v>
      </c>
      <c r="B122" s="182"/>
      <c r="C122" s="183"/>
      <c r="D122" s="183"/>
      <c r="E122" s="184"/>
      <c r="F122" s="183"/>
      <c r="G122" s="350"/>
      <c r="H122" s="183"/>
      <c r="I122" s="355"/>
      <c r="J122" s="360"/>
    </row>
    <row r="123" spans="1:10" hidden="1">
      <c r="A123" s="357">
        <v>201</v>
      </c>
      <c r="B123" s="182"/>
      <c r="C123" s="183"/>
      <c r="D123" s="183"/>
      <c r="E123" s="184"/>
      <c r="F123" s="183"/>
      <c r="G123" s="350"/>
      <c r="H123" s="183"/>
      <c r="I123" s="355"/>
      <c r="J123" s="360"/>
    </row>
    <row r="124" spans="1:10" hidden="1">
      <c r="A124" s="357">
        <v>202</v>
      </c>
      <c r="B124" s="182"/>
      <c r="C124" s="183"/>
      <c r="D124" s="183"/>
      <c r="E124" s="184"/>
      <c r="F124" s="183"/>
      <c r="G124" s="350"/>
      <c r="H124" s="183"/>
      <c r="I124" s="355"/>
      <c r="J124" s="360"/>
    </row>
    <row r="125" spans="1:10" hidden="1">
      <c r="A125" s="357">
        <v>203</v>
      </c>
      <c r="B125" s="182"/>
      <c r="C125" s="183"/>
      <c r="D125" s="183"/>
      <c r="E125" s="184"/>
      <c r="F125" s="183"/>
      <c r="G125" s="350"/>
      <c r="H125" s="183"/>
      <c r="I125" s="355"/>
      <c r="J125" s="360"/>
    </row>
    <row r="126" spans="1:10" hidden="1">
      <c r="A126" s="357">
        <v>204</v>
      </c>
      <c r="B126" s="182"/>
      <c r="C126" s="183"/>
      <c r="D126" s="183"/>
      <c r="E126" s="184"/>
      <c r="F126" s="183"/>
      <c r="G126" s="350"/>
      <c r="H126" s="183"/>
      <c r="I126" s="355"/>
      <c r="J126" s="360"/>
    </row>
    <row r="127" spans="1:10" hidden="1">
      <c r="A127" s="357">
        <v>205</v>
      </c>
      <c r="B127" s="182"/>
      <c r="C127" s="183"/>
      <c r="D127" s="183"/>
      <c r="E127" s="184"/>
      <c r="F127" s="183"/>
      <c r="G127" s="350"/>
      <c r="H127" s="183"/>
      <c r="I127" s="355"/>
      <c r="J127" s="360"/>
    </row>
    <row r="128" spans="1:10" hidden="1">
      <c r="A128" s="357">
        <v>206</v>
      </c>
      <c r="B128" s="182"/>
      <c r="C128" s="183"/>
      <c r="D128" s="183"/>
      <c r="E128" s="184"/>
      <c r="F128" s="183"/>
      <c r="G128" s="350"/>
      <c r="H128" s="183"/>
      <c r="I128" s="355"/>
      <c r="J128" s="360"/>
    </row>
    <row r="129" spans="1:10" hidden="1">
      <c r="A129" s="357">
        <v>207</v>
      </c>
      <c r="B129" s="182"/>
      <c r="C129" s="183"/>
      <c r="D129" s="183"/>
      <c r="E129" s="184"/>
      <c r="F129" s="183"/>
      <c r="G129" s="350"/>
      <c r="H129" s="183"/>
      <c r="I129" s="355"/>
      <c r="J129" s="360"/>
    </row>
    <row r="130" spans="1:10" hidden="1">
      <c r="A130" s="358">
        <v>208</v>
      </c>
      <c r="B130" s="182"/>
      <c r="C130" s="183"/>
      <c r="D130" s="183"/>
      <c r="E130" s="184"/>
      <c r="F130" s="183"/>
      <c r="G130" s="350"/>
      <c r="H130" s="183"/>
      <c r="I130" s="355"/>
      <c r="J130" s="360"/>
    </row>
    <row r="131" spans="1:10" hidden="1">
      <c r="A131" s="357">
        <v>209</v>
      </c>
      <c r="B131" s="182"/>
      <c r="C131" s="183"/>
      <c r="D131" s="183"/>
      <c r="E131" s="184"/>
      <c r="F131" s="183"/>
      <c r="G131" s="350"/>
      <c r="H131" s="183"/>
      <c r="I131" s="355"/>
      <c r="J131" s="360"/>
    </row>
    <row r="132" spans="1:10" hidden="1">
      <c r="A132" s="357">
        <v>210</v>
      </c>
      <c r="B132" s="182"/>
      <c r="C132" s="183"/>
      <c r="D132" s="183"/>
      <c r="E132" s="184"/>
      <c r="F132" s="183"/>
      <c r="G132" s="350"/>
      <c r="H132" s="183"/>
      <c r="I132" s="355"/>
      <c r="J132" s="360"/>
    </row>
    <row r="133" spans="1:10" hidden="1">
      <c r="A133" s="357">
        <v>211</v>
      </c>
      <c r="B133" s="182"/>
      <c r="C133" s="183"/>
      <c r="D133" s="183"/>
      <c r="E133" s="184"/>
      <c r="F133" s="183"/>
      <c r="G133" s="350"/>
      <c r="H133" s="183"/>
      <c r="I133" s="355"/>
      <c r="J133" s="360"/>
    </row>
    <row r="134" spans="1:10" hidden="1">
      <c r="A134" s="357">
        <v>212</v>
      </c>
      <c r="B134" s="182"/>
      <c r="C134" s="183"/>
      <c r="D134" s="183"/>
      <c r="E134" s="184"/>
      <c r="F134" s="183"/>
      <c r="G134" s="350"/>
      <c r="H134" s="183"/>
      <c r="I134" s="355"/>
      <c r="J134" s="360"/>
    </row>
    <row r="135" spans="1:10" hidden="1">
      <c r="A135" s="357">
        <v>213</v>
      </c>
      <c r="B135" s="182"/>
      <c r="C135" s="183"/>
      <c r="D135" s="183"/>
      <c r="E135" s="184"/>
      <c r="F135" s="183"/>
      <c r="G135" s="350"/>
      <c r="H135" s="183"/>
      <c r="I135" s="355"/>
      <c r="J135" s="360"/>
    </row>
    <row r="136" spans="1:10" hidden="1">
      <c r="A136" s="357">
        <v>214</v>
      </c>
      <c r="B136" s="182"/>
      <c r="C136" s="183"/>
      <c r="D136" s="183"/>
      <c r="E136" s="184"/>
      <c r="F136" s="183"/>
      <c r="G136" s="350"/>
      <c r="H136" s="183"/>
      <c r="I136" s="355"/>
      <c r="J136" s="360"/>
    </row>
    <row r="137" spans="1:10" hidden="1">
      <c r="A137" s="357">
        <v>215</v>
      </c>
      <c r="B137" s="182"/>
      <c r="C137" s="183"/>
      <c r="D137" s="183"/>
      <c r="E137" s="184"/>
      <c r="F137" s="183"/>
      <c r="G137" s="350"/>
      <c r="H137" s="183"/>
      <c r="I137" s="355"/>
      <c r="J137" s="360"/>
    </row>
    <row r="138" spans="1:10" hidden="1">
      <c r="A138" s="357">
        <v>216</v>
      </c>
      <c r="B138" s="182"/>
      <c r="C138" s="183"/>
      <c r="D138" s="183"/>
      <c r="E138" s="184"/>
      <c r="F138" s="183"/>
      <c r="G138" s="350"/>
      <c r="H138" s="183"/>
      <c r="I138" s="355"/>
      <c r="J138" s="360"/>
    </row>
    <row r="139" spans="1:10" hidden="1">
      <c r="A139" s="358">
        <v>217</v>
      </c>
      <c r="B139" s="182"/>
      <c r="C139" s="183"/>
      <c r="D139" s="183"/>
      <c r="E139" s="184"/>
      <c r="F139" s="183"/>
      <c r="G139" s="350"/>
      <c r="H139" s="183"/>
      <c r="I139" s="355"/>
      <c r="J139" s="360"/>
    </row>
    <row r="140" spans="1:10" hidden="1">
      <c r="A140" s="357">
        <v>218</v>
      </c>
      <c r="B140" s="182"/>
      <c r="C140" s="183"/>
      <c r="D140" s="183"/>
      <c r="E140" s="184"/>
      <c r="F140" s="183"/>
      <c r="G140" s="350"/>
      <c r="H140" s="183"/>
      <c r="I140" s="355"/>
      <c r="J140" s="360"/>
    </row>
    <row r="141" spans="1:10" hidden="1">
      <c r="A141" s="357">
        <v>219</v>
      </c>
      <c r="B141" s="182"/>
      <c r="C141" s="183"/>
      <c r="D141" s="183"/>
      <c r="E141" s="184"/>
      <c r="F141" s="183"/>
      <c r="G141" s="350"/>
      <c r="H141" s="183"/>
      <c r="I141" s="355"/>
      <c r="J141" s="360"/>
    </row>
    <row r="142" spans="1:10" hidden="1">
      <c r="A142" s="357">
        <v>220</v>
      </c>
      <c r="B142" s="182"/>
      <c r="C142" s="183"/>
      <c r="D142" s="183"/>
      <c r="E142" s="184"/>
      <c r="F142" s="183"/>
      <c r="G142" s="350"/>
      <c r="H142" s="183"/>
      <c r="I142" s="355"/>
      <c r="J142" s="360"/>
    </row>
    <row r="143" spans="1:10" hidden="1">
      <c r="A143" s="357">
        <v>221</v>
      </c>
      <c r="B143" s="182"/>
      <c r="C143" s="183"/>
      <c r="D143" s="183"/>
      <c r="E143" s="184"/>
      <c r="F143" s="183"/>
      <c r="G143" s="350"/>
      <c r="H143" s="183"/>
      <c r="I143" s="355"/>
      <c r="J143" s="360"/>
    </row>
    <row r="144" spans="1:10" hidden="1">
      <c r="A144" s="357">
        <v>222</v>
      </c>
      <c r="B144" s="182"/>
      <c r="C144" s="183"/>
      <c r="D144" s="183"/>
      <c r="E144" s="184"/>
      <c r="F144" s="183"/>
      <c r="G144" s="350"/>
      <c r="H144" s="183"/>
      <c r="I144" s="355"/>
      <c r="J144" s="360"/>
    </row>
    <row r="145" spans="1:10" hidden="1">
      <c r="A145" s="357">
        <v>223</v>
      </c>
      <c r="B145" s="182"/>
      <c r="C145" s="183"/>
      <c r="D145" s="183"/>
      <c r="E145" s="184"/>
      <c r="F145" s="183"/>
      <c r="G145" s="350"/>
      <c r="H145" s="183"/>
      <c r="I145" s="355"/>
      <c r="J145" s="360"/>
    </row>
    <row r="146" spans="1:10" hidden="1">
      <c r="A146" s="357">
        <v>224</v>
      </c>
      <c r="B146" s="182"/>
      <c r="C146" s="183"/>
      <c r="D146" s="183"/>
      <c r="E146" s="184"/>
      <c r="F146" s="183"/>
      <c r="G146" s="350"/>
      <c r="H146" s="183"/>
      <c r="I146" s="355"/>
      <c r="J146" s="360"/>
    </row>
    <row r="147" spans="1:10" hidden="1">
      <c r="A147" s="357">
        <v>225</v>
      </c>
      <c r="B147" s="182"/>
      <c r="C147" s="183"/>
      <c r="D147" s="183"/>
      <c r="E147" s="184"/>
      <c r="F147" s="183"/>
      <c r="G147" s="350"/>
      <c r="H147" s="183"/>
      <c r="I147" s="355"/>
      <c r="J147" s="360"/>
    </row>
    <row r="148" spans="1:10" hidden="1">
      <c r="A148" s="358">
        <v>226</v>
      </c>
      <c r="B148" s="182"/>
      <c r="C148" s="183"/>
      <c r="D148" s="183"/>
      <c r="E148" s="184"/>
      <c r="F148" s="183"/>
      <c r="G148" s="350"/>
      <c r="H148" s="183"/>
      <c r="I148" s="355"/>
      <c r="J148" s="360"/>
    </row>
    <row r="149" spans="1:10" hidden="1">
      <c r="A149" s="357">
        <v>227</v>
      </c>
      <c r="B149" s="182"/>
      <c r="C149" s="183"/>
      <c r="D149" s="183"/>
      <c r="E149" s="184"/>
      <c r="F149" s="183"/>
      <c r="G149" s="350"/>
      <c r="H149" s="183"/>
      <c r="I149" s="355"/>
      <c r="J149" s="360"/>
    </row>
    <row r="150" spans="1:10" hidden="1">
      <c r="A150" s="357">
        <v>228</v>
      </c>
      <c r="B150" s="182"/>
      <c r="C150" s="183"/>
      <c r="D150" s="183"/>
      <c r="E150" s="184"/>
      <c r="F150" s="183"/>
      <c r="G150" s="350"/>
      <c r="H150" s="183"/>
      <c r="I150" s="355"/>
      <c r="J150" s="360"/>
    </row>
    <row r="151" spans="1:10" hidden="1">
      <c r="A151" s="357">
        <v>229</v>
      </c>
      <c r="B151" s="182"/>
      <c r="C151" s="183"/>
      <c r="D151" s="183"/>
      <c r="E151" s="184"/>
      <c r="F151" s="183"/>
      <c r="G151" s="350"/>
      <c r="H151" s="183"/>
      <c r="I151" s="355"/>
      <c r="J151" s="360"/>
    </row>
    <row r="152" spans="1:10" hidden="1">
      <c r="A152" s="357">
        <v>230</v>
      </c>
      <c r="B152" s="182"/>
      <c r="C152" s="183"/>
      <c r="D152" s="183"/>
      <c r="E152" s="184"/>
      <c r="F152" s="183"/>
      <c r="G152" s="350"/>
      <c r="H152" s="183"/>
      <c r="I152" s="355"/>
      <c r="J152" s="360"/>
    </row>
    <row r="153" spans="1:10" hidden="1">
      <c r="A153" s="357">
        <v>231</v>
      </c>
      <c r="B153" s="182"/>
      <c r="C153" s="183"/>
      <c r="D153" s="183"/>
      <c r="E153" s="184"/>
      <c r="F153" s="183"/>
      <c r="G153" s="350"/>
      <c r="H153" s="183"/>
      <c r="I153" s="355"/>
      <c r="J153" s="360"/>
    </row>
    <row r="154" spans="1:10" hidden="1">
      <c r="A154" s="357">
        <v>232</v>
      </c>
      <c r="B154" s="182"/>
      <c r="C154" s="183"/>
      <c r="D154" s="183"/>
      <c r="E154" s="184"/>
      <c r="F154" s="183"/>
      <c r="G154" s="350"/>
      <c r="H154" s="183"/>
      <c r="I154" s="355"/>
      <c r="J154" s="360"/>
    </row>
    <row r="155" spans="1:10" hidden="1">
      <c r="A155" s="357">
        <v>233</v>
      </c>
      <c r="B155" s="182"/>
      <c r="C155" s="183"/>
      <c r="D155" s="183"/>
      <c r="E155" s="184"/>
      <c r="F155" s="183"/>
      <c r="G155" s="350"/>
      <c r="H155" s="183"/>
      <c r="I155" s="355"/>
      <c r="J155" s="360"/>
    </row>
    <row r="156" spans="1:10" hidden="1">
      <c r="A156" s="357">
        <v>234</v>
      </c>
      <c r="B156" s="182"/>
      <c r="C156" s="183"/>
      <c r="D156" s="183"/>
      <c r="E156" s="184"/>
      <c r="F156" s="183"/>
      <c r="G156" s="350"/>
      <c r="H156" s="183"/>
      <c r="I156" s="355"/>
      <c r="J156" s="360"/>
    </row>
    <row r="157" spans="1:10" hidden="1">
      <c r="A157" s="358">
        <v>235</v>
      </c>
      <c r="B157" s="182"/>
      <c r="C157" s="183"/>
      <c r="D157" s="183"/>
      <c r="E157" s="184"/>
      <c r="F157" s="183"/>
      <c r="G157" s="350"/>
      <c r="H157" s="183"/>
      <c r="I157" s="355"/>
      <c r="J157" s="360"/>
    </row>
    <row r="158" spans="1:10" hidden="1">
      <c r="A158" s="357">
        <v>236</v>
      </c>
      <c r="B158" s="182"/>
      <c r="C158" s="183"/>
      <c r="D158" s="183"/>
      <c r="E158" s="184"/>
      <c r="F158" s="183"/>
      <c r="G158" s="350"/>
      <c r="H158" s="183"/>
      <c r="I158" s="355"/>
      <c r="J158" s="360"/>
    </row>
    <row r="159" spans="1:10" hidden="1">
      <c r="A159" s="357">
        <v>237</v>
      </c>
      <c r="B159" s="182"/>
      <c r="C159" s="183"/>
      <c r="D159" s="183"/>
      <c r="E159" s="184"/>
      <c r="F159" s="183"/>
      <c r="G159" s="350"/>
      <c r="H159" s="183"/>
      <c r="I159" s="355"/>
      <c r="J159" s="360"/>
    </row>
    <row r="160" spans="1:10" hidden="1">
      <c r="A160" s="357">
        <v>238</v>
      </c>
      <c r="B160" s="182"/>
      <c r="C160" s="183"/>
      <c r="D160" s="183"/>
      <c r="E160" s="184"/>
      <c r="F160" s="183"/>
      <c r="G160" s="350"/>
      <c r="H160" s="183"/>
      <c r="I160" s="355"/>
      <c r="J160" s="360"/>
    </row>
    <row r="161" spans="1:10" hidden="1">
      <c r="A161" s="357">
        <v>239</v>
      </c>
      <c r="B161" s="182"/>
      <c r="C161" s="183"/>
      <c r="D161" s="183"/>
      <c r="E161" s="184"/>
      <c r="F161" s="183"/>
      <c r="G161" s="350"/>
      <c r="H161" s="183"/>
      <c r="I161" s="355"/>
      <c r="J161" s="360"/>
    </row>
    <row r="162" spans="1:10" hidden="1">
      <c r="A162" s="357">
        <v>240</v>
      </c>
      <c r="B162" s="182"/>
      <c r="C162" s="183"/>
      <c r="D162" s="183"/>
      <c r="E162" s="184"/>
      <c r="F162" s="183"/>
      <c r="G162" s="350"/>
      <c r="H162" s="183"/>
      <c r="I162" s="355"/>
      <c r="J162" s="360"/>
    </row>
    <row r="163" spans="1:10" hidden="1">
      <c r="A163" s="357">
        <v>241</v>
      </c>
      <c r="B163" s="182"/>
      <c r="C163" s="183"/>
      <c r="D163" s="183"/>
      <c r="E163" s="184"/>
      <c r="F163" s="183"/>
      <c r="G163" s="350"/>
      <c r="H163" s="183"/>
      <c r="I163" s="355"/>
      <c r="J163" s="360"/>
    </row>
    <row r="164" spans="1:10" hidden="1">
      <c r="A164" s="357">
        <v>242</v>
      </c>
      <c r="B164" s="182"/>
      <c r="C164" s="183"/>
      <c r="D164" s="183"/>
      <c r="E164" s="184"/>
      <c r="F164" s="183"/>
      <c r="G164" s="350"/>
      <c r="H164" s="183"/>
      <c r="I164" s="355"/>
      <c r="J164" s="360"/>
    </row>
    <row r="165" spans="1:10" hidden="1">
      <c r="A165" s="357">
        <v>243</v>
      </c>
      <c r="B165" s="182"/>
      <c r="C165" s="183"/>
      <c r="D165" s="183"/>
      <c r="E165" s="184"/>
      <c r="F165" s="183"/>
      <c r="G165" s="350"/>
      <c r="H165" s="183"/>
      <c r="I165" s="355"/>
      <c r="J165" s="360"/>
    </row>
    <row r="166" spans="1:10" hidden="1">
      <c r="A166" s="358">
        <v>244</v>
      </c>
      <c r="B166" s="182"/>
      <c r="C166" s="183"/>
      <c r="D166" s="183"/>
      <c r="E166" s="184"/>
      <c r="F166" s="183"/>
      <c r="G166" s="350"/>
      <c r="H166" s="183"/>
      <c r="I166" s="355"/>
      <c r="J166" s="360"/>
    </row>
    <row r="167" spans="1:10" hidden="1">
      <c r="A167" s="357">
        <v>245</v>
      </c>
      <c r="B167" s="182"/>
      <c r="C167" s="183"/>
      <c r="D167" s="183"/>
      <c r="E167" s="184"/>
      <c r="F167" s="183"/>
      <c r="G167" s="350"/>
      <c r="H167" s="183"/>
      <c r="I167" s="355"/>
      <c r="J167" s="360"/>
    </row>
    <row r="168" spans="1:10" hidden="1">
      <c r="A168" s="357">
        <v>246</v>
      </c>
      <c r="B168" s="182"/>
      <c r="C168" s="183"/>
      <c r="D168" s="183"/>
      <c r="E168" s="184"/>
      <c r="F168" s="183"/>
      <c r="G168" s="350"/>
      <c r="H168" s="183"/>
      <c r="I168" s="355"/>
      <c r="J168" s="360"/>
    </row>
    <row r="169" spans="1:10" hidden="1">
      <c r="A169" s="357">
        <v>247</v>
      </c>
      <c r="B169" s="182"/>
      <c r="C169" s="183"/>
      <c r="D169" s="183"/>
      <c r="E169" s="184"/>
      <c r="F169" s="183"/>
      <c r="G169" s="350"/>
      <c r="H169" s="183"/>
      <c r="I169" s="355"/>
      <c r="J169" s="360"/>
    </row>
    <row r="170" spans="1:10" hidden="1">
      <c r="A170" s="357">
        <v>248</v>
      </c>
      <c r="B170" s="182"/>
      <c r="C170" s="183"/>
      <c r="D170" s="183"/>
      <c r="E170" s="184"/>
      <c r="F170" s="183"/>
      <c r="G170" s="350"/>
      <c r="H170" s="183"/>
      <c r="I170" s="355"/>
      <c r="J170" s="360"/>
    </row>
    <row r="171" spans="1:10" hidden="1">
      <c r="A171" s="357">
        <v>249</v>
      </c>
      <c r="B171" s="182"/>
      <c r="C171" s="183"/>
      <c r="D171" s="183"/>
      <c r="E171" s="184"/>
      <c r="F171" s="183"/>
      <c r="G171" s="350"/>
      <c r="H171" s="183"/>
      <c r="I171" s="355"/>
      <c r="J171" s="360"/>
    </row>
    <row r="172" spans="1:10" hidden="1">
      <c r="A172" s="357">
        <v>250</v>
      </c>
      <c r="B172" s="182"/>
      <c r="C172" s="183"/>
      <c r="D172" s="183"/>
      <c r="E172" s="184"/>
      <c r="F172" s="183"/>
      <c r="G172" s="350"/>
      <c r="H172" s="183"/>
      <c r="I172" s="355"/>
      <c r="J172" s="360"/>
    </row>
    <row r="173" spans="1:10" hidden="1">
      <c r="A173" s="357">
        <v>251</v>
      </c>
      <c r="B173" s="182"/>
      <c r="C173" s="183"/>
      <c r="D173" s="183"/>
      <c r="E173" s="184"/>
      <c r="F173" s="183"/>
      <c r="G173" s="350"/>
      <c r="H173" s="183"/>
      <c r="I173" s="355"/>
      <c r="J173" s="360"/>
    </row>
    <row r="174" spans="1:10" hidden="1">
      <c r="A174" s="357">
        <v>252</v>
      </c>
      <c r="B174" s="182"/>
      <c r="C174" s="183"/>
      <c r="D174" s="183"/>
      <c r="E174" s="416"/>
      <c r="F174" s="354"/>
      <c r="G174" s="354"/>
      <c r="H174" s="183"/>
      <c r="I174" s="355"/>
      <c r="J174" s="360"/>
    </row>
    <row r="175" spans="1:10" hidden="1">
      <c r="A175" s="358">
        <v>253</v>
      </c>
      <c r="B175" s="182"/>
      <c r="C175" s="183"/>
      <c r="D175" s="183"/>
      <c r="E175" s="416"/>
      <c r="F175" s="354"/>
      <c r="G175" s="354"/>
      <c r="H175" s="183"/>
      <c r="I175" s="355"/>
      <c r="J175" s="360"/>
    </row>
    <row r="176" spans="1:10" hidden="1">
      <c r="A176" s="357">
        <v>254</v>
      </c>
      <c r="B176" s="182"/>
      <c r="C176" s="183"/>
      <c r="D176" s="183"/>
      <c r="E176" s="184"/>
      <c r="F176" s="183"/>
      <c r="G176" s="350"/>
      <c r="H176" s="183"/>
      <c r="I176" s="355"/>
      <c r="J176" s="360"/>
    </row>
    <row r="177" spans="1:10" hidden="1">
      <c r="A177" s="357">
        <v>255</v>
      </c>
      <c r="B177" s="182"/>
      <c r="C177" s="183"/>
      <c r="D177" s="183"/>
      <c r="E177" s="184"/>
      <c r="F177" s="183"/>
      <c r="G177" s="350"/>
      <c r="H177" s="183"/>
      <c r="I177" s="355"/>
      <c r="J177" s="360"/>
    </row>
    <row r="178" spans="1:10" hidden="1">
      <c r="A178" s="357">
        <v>256</v>
      </c>
      <c r="B178" s="182"/>
      <c r="C178" s="183"/>
      <c r="D178" s="183"/>
      <c r="E178" s="184"/>
      <c r="F178" s="183"/>
      <c r="G178" s="350"/>
      <c r="H178" s="183"/>
      <c r="I178" s="355"/>
      <c r="J178" s="360"/>
    </row>
    <row r="179" spans="1:10" hidden="1">
      <c r="A179" s="357">
        <v>257</v>
      </c>
      <c r="B179" s="182"/>
      <c r="C179" s="183"/>
      <c r="D179" s="183"/>
      <c r="E179" s="184"/>
      <c r="F179" s="183"/>
      <c r="G179" s="350"/>
      <c r="H179" s="183"/>
      <c r="I179" s="355"/>
      <c r="J179" s="360"/>
    </row>
    <row r="180" spans="1:10" hidden="1">
      <c r="A180" s="357">
        <v>258</v>
      </c>
      <c r="B180" s="182"/>
      <c r="C180" s="183"/>
      <c r="D180" s="183"/>
      <c r="E180" s="184"/>
      <c r="F180" s="183"/>
      <c r="G180" s="350"/>
      <c r="H180" s="183"/>
      <c r="I180" s="355"/>
      <c r="J180" s="360"/>
    </row>
    <row r="181" spans="1:10" hidden="1">
      <c r="A181" s="357">
        <v>259</v>
      </c>
      <c r="B181" s="182"/>
      <c r="C181" s="183"/>
      <c r="D181" s="183"/>
      <c r="E181" s="184"/>
      <c r="F181" s="183"/>
      <c r="G181" s="350"/>
      <c r="H181" s="183"/>
      <c r="I181" s="355"/>
      <c r="J181" s="360"/>
    </row>
    <row r="182" spans="1:10" hidden="1">
      <c r="A182" s="357">
        <v>260</v>
      </c>
      <c r="B182" s="182"/>
      <c r="C182" s="183"/>
      <c r="D182" s="183"/>
      <c r="E182" s="184"/>
      <c r="F182" s="183"/>
      <c r="G182" s="350"/>
      <c r="H182" s="183"/>
      <c r="I182" s="355"/>
      <c r="J182" s="360"/>
    </row>
    <row r="183" spans="1:10" hidden="1">
      <c r="A183" s="357">
        <v>261</v>
      </c>
      <c r="B183" s="182"/>
      <c r="C183" s="183"/>
      <c r="D183" s="183"/>
      <c r="E183" s="184"/>
      <c r="F183" s="183"/>
      <c r="G183" s="350"/>
      <c r="H183" s="183"/>
      <c r="I183" s="355"/>
      <c r="J183" s="360"/>
    </row>
    <row r="184" spans="1:10" hidden="1">
      <c r="A184" s="358">
        <v>262</v>
      </c>
      <c r="B184" s="182"/>
      <c r="C184" s="183"/>
      <c r="D184" s="183"/>
      <c r="E184" s="184"/>
      <c r="F184" s="183"/>
      <c r="G184" s="350"/>
      <c r="H184" s="183"/>
      <c r="I184" s="355"/>
      <c r="J184" s="360"/>
    </row>
    <row r="185" spans="1:10" hidden="1">
      <c r="A185" s="357">
        <v>263</v>
      </c>
      <c r="B185" s="182"/>
      <c r="C185" s="183"/>
      <c r="D185" s="183"/>
      <c r="E185" s="184"/>
      <c r="F185" s="183"/>
      <c r="G185" s="350"/>
      <c r="H185" s="183"/>
      <c r="I185" s="355"/>
      <c r="J185" s="360"/>
    </row>
    <row r="186" spans="1:10" hidden="1">
      <c r="A186" s="357">
        <v>264</v>
      </c>
      <c r="B186" s="182"/>
      <c r="C186" s="183"/>
      <c r="D186" s="183"/>
      <c r="E186" s="184"/>
      <c r="F186" s="183"/>
      <c r="G186" s="350"/>
      <c r="H186" s="183"/>
      <c r="I186" s="355"/>
      <c r="J186" s="360"/>
    </row>
    <row r="187" spans="1:10" hidden="1">
      <c r="A187" s="357">
        <v>265</v>
      </c>
      <c r="B187" s="182"/>
      <c r="C187" s="183"/>
      <c r="D187" s="183"/>
      <c r="E187" s="184"/>
      <c r="F187" s="183"/>
      <c r="G187" s="350"/>
      <c r="H187" s="183"/>
      <c r="I187" s="355"/>
      <c r="J187" s="360"/>
    </row>
    <row r="188" spans="1:10" hidden="1">
      <c r="A188" s="357">
        <v>266</v>
      </c>
      <c r="B188" s="182"/>
      <c r="C188" s="183"/>
      <c r="D188" s="183"/>
      <c r="E188" s="184"/>
      <c r="F188" s="183"/>
      <c r="G188" s="350"/>
      <c r="H188" s="183"/>
      <c r="I188" s="355"/>
      <c r="J188" s="360"/>
    </row>
    <row r="189" spans="1:10" hidden="1">
      <c r="A189" s="357">
        <v>267</v>
      </c>
      <c r="B189" s="182"/>
      <c r="C189" s="183"/>
      <c r="D189" s="183"/>
      <c r="E189" s="184"/>
      <c r="F189" s="183"/>
      <c r="G189" s="350"/>
      <c r="H189" s="183"/>
      <c r="I189" s="355"/>
      <c r="J189" s="360"/>
    </row>
    <row r="190" spans="1:10" hidden="1">
      <c r="A190" s="357">
        <v>268</v>
      </c>
      <c r="B190" s="182"/>
      <c r="C190" s="183"/>
      <c r="D190" s="183"/>
      <c r="E190" s="184"/>
      <c r="F190" s="183"/>
      <c r="G190" s="350"/>
      <c r="H190" s="183"/>
      <c r="I190" s="355"/>
      <c r="J190" s="360"/>
    </row>
    <row r="191" spans="1:10" hidden="1">
      <c r="A191" s="357">
        <v>269</v>
      </c>
      <c r="B191" s="182"/>
      <c r="C191" s="183"/>
      <c r="D191" s="183"/>
      <c r="E191" s="184"/>
      <c r="F191" s="183"/>
      <c r="G191" s="350"/>
      <c r="H191" s="183"/>
      <c r="I191" s="355"/>
      <c r="J191" s="360"/>
    </row>
    <row r="192" spans="1:10" hidden="1">
      <c r="A192" s="357">
        <v>270</v>
      </c>
      <c r="B192" s="182"/>
      <c r="C192" s="183"/>
      <c r="D192" s="183"/>
      <c r="E192" s="184"/>
      <c r="F192" s="183"/>
      <c r="G192" s="350"/>
      <c r="H192" s="183"/>
      <c r="I192" s="355"/>
      <c r="J192" s="360"/>
    </row>
    <row r="193" spans="1:10" hidden="1">
      <c r="A193" s="358">
        <v>271</v>
      </c>
      <c r="B193" s="182"/>
      <c r="C193" s="183"/>
      <c r="D193" s="183"/>
      <c r="E193" s="184"/>
      <c r="F193" s="183"/>
      <c r="G193" s="350"/>
      <c r="H193" s="183"/>
      <c r="I193" s="355"/>
      <c r="J193" s="360"/>
    </row>
    <row r="194" spans="1:10" hidden="1">
      <c r="A194" s="357">
        <v>272</v>
      </c>
      <c r="B194" s="182"/>
      <c r="C194" s="183"/>
      <c r="D194" s="183"/>
      <c r="E194" s="184"/>
      <c r="F194" s="183"/>
      <c r="G194" s="350"/>
      <c r="H194" s="183"/>
      <c r="I194" s="355"/>
      <c r="J194" s="360"/>
    </row>
    <row r="195" spans="1:10" hidden="1">
      <c r="A195" s="357">
        <v>273</v>
      </c>
      <c r="B195" s="182"/>
      <c r="C195" s="183"/>
      <c r="D195" s="183"/>
      <c r="E195" s="184"/>
      <c r="F195" s="183"/>
      <c r="G195" s="350"/>
      <c r="H195" s="183"/>
      <c r="I195" s="355"/>
      <c r="J195" s="360"/>
    </row>
    <row r="196" spans="1:10" hidden="1">
      <c r="A196" s="357">
        <v>274</v>
      </c>
      <c r="B196" s="182"/>
      <c r="C196" s="183"/>
      <c r="D196" s="183"/>
      <c r="E196" s="184"/>
      <c r="F196" s="183"/>
      <c r="G196" s="350"/>
      <c r="H196" s="183"/>
      <c r="I196" s="355"/>
      <c r="J196" s="360"/>
    </row>
    <row r="197" spans="1:10" hidden="1">
      <c r="A197" s="357">
        <v>275</v>
      </c>
      <c r="B197" s="182"/>
      <c r="C197" s="183"/>
      <c r="D197" s="183"/>
      <c r="E197" s="184"/>
      <c r="F197" s="183"/>
      <c r="G197" s="350"/>
      <c r="H197" s="183"/>
      <c r="I197" s="355"/>
      <c r="J197" s="360"/>
    </row>
    <row r="198" spans="1:10" hidden="1">
      <c r="A198" s="357">
        <v>276</v>
      </c>
      <c r="B198" s="182"/>
      <c r="C198" s="183"/>
      <c r="D198" s="183"/>
      <c r="E198" s="184"/>
      <c r="F198" s="350"/>
      <c r="G198" s="350"/>
      <c r="H198" s="183"/>
      <c r="I198" s="355"/>
      <c r="J198" s="360"/>
    </row>
    <row r="199" spans="1:10" hidden="1">
      <c r="A199" s="357">
        <v>277</v>
      </c>
      <c r="B199" s="182"/>
      <c r="C199" s="183"/>
      <c r="D199" s="183"/>
      <c r="E199" s="184"/>
      <c r="F199" s="350"/>
      <c r="G199" s="350"/>
      <c r="H199" s="183"/>
      <c r="I199" s="355"/>
      <c r="J199" s="360"/>
    </row>
    <row r="200" spans="1:10" hidden="1">
      <c r="A200" s="357">
        <v>278</v>
      </c>
      <c r="B200" s="182"/>
      <c r="C200" s="183"/>
      <c r="D200" s="183"/>
      <c r="E200" s="184"/>
      <c r="F200" s="183"/>
      <c r="G200" s="350"/>
      <c r="H200" s="183"/>
      <c r="I200" s="355"/>
      <c r="J200" s="360"/>
    </row>
    <row r="201" spans="1:10" hidden="1">
      <c r="A201" s="357">
        <v>279</v>
      </c>
      <c r="B201" s="182"/>
      <c r="C201" s="183"/>
      <c r="D201" s="183"/>
      <c r="E201" s="184"/>
      <c r="F201" s="183"/>
      <c r="G201" s="350"/>
      <c r="H201" s="183"/>
      <c r="I201" s="355"/>
      <c r="J201" s="360"/>
    </row>
    <row r="202" spans="1:10" hidden="1">
      <c r="A202" s="358">
        <v>280</v>
      </c>
      <c r="B202" s="182"/>
      <c r="C202" s="183"/>
      <c r="D202" s="183"/>
      <c r="E202" s="184"/>
      <c r="F202" s="183"/>
      <c r="G202" s="350"/>
      <c r="H202" s="183"/>
      <c r="I202" s="355"/>
      <c r="J202" s="360"/>
    </row>
    <row r="203" spans="1:10" hidden="1">
      <c r="A203" s="357">
        <v>281</v>
      </c>
      <c r="B203" s="182"/>
      <c r="C203" s="183"/>
      <c r="D203" s="183"/>
      <c r="E203" s="184"/>
      <c r="F203" s="183"/>
      <c r="G203" s="350"/>
      <c r="H203" s="183"/>
      <c r="I203" s="355"/>
      <c r="J203" s="360"/>
    </row>
    <row r="204" spans="1:10" hidden="1">
      <c r="A204" s="357">
        <v>282</v>
      </c>
      <c r="B204" s="182"/>
      <c r="C204" s="183"/>
      <c r="D204" s="183"/>
      <c r="E204" s="184"/>
      <c r="F204" s="183"/>
      <c r="G204" s="350"/>
      <c r="H204" s="183"/>
      <c r="I204" s="355"/>
      <c r="J204" s="360"/>
    </row>
    <row r="205" spans="1:10" hidden="1">
      <c r="A205" s="357">
        <v>283</v>
      </c>
      <c r="B205" s="182"/>
      <c r="C205" s="183"/>
      <c r="D205" s="183"/>
      <c r="E205" s="184"/>
      <c r="F205" s="183"/>
      <c r="G205" s="350"/>
      <c r="H205" s="183"/>
      <c r="I205" s="355"/>
      <c r="J205" s="360"/>
    </row>
    <row r="206" spans="1:10" hidden="1">
      <c r="A206" s="357">
        <v>284</v>
      </c>
      <c r="B206" s="182"/>
      <c r="C206" s="183"/>
      <c r="D206" s="183"/>
      <c r="E206" s="184"/>
      <c r="F206" s="183"/>
      <c r="G206" s="350"/>
      <c r="H206" s="183"/>
      <c r="I206" s="355"/>
      <c r="J206" s="360"/>
    </row>
    <row r="207" spans="1:10" hidden="1">
      <c r="A207" s="357">
        <v>285</v>
      </c>
      <c r="B207" s="182"/>
      <c r="C207" s="183"/>
      <c r="D207" s="183"/>
      <c r="E207" s="184"/>
      <c r="F207" s="183"/>
      <c r="G207" s="350"/>
      <c r="H207" s="183"/>
      <c r="I207" s="355"/>
      <c r="J207" s="360"/>
    </row>
    <row r="208" spans="1:10" hidden="1">
      <c r="A208" s="357">
        <v>286</v>
      </c>
      <c r="B208" s="182"/>
      <c r="C208" s="183"/>
      <c r="D208" s="183"/>
      <c r="E208" s="184"/>
      <c r="F208" s="183"/>
      <c r="G208" s="350"/>
      <c r="H208" s="183"/>
      <c r="I208" s="355"/>
      <c r="J208" s="360"/>
    </row>
    <row r="209" spans="1:10" hidden="1">
      <c r="A209" s="357">
        <v>287</v>
      </c>
      <c r="B209" s="182"/>
      <c r="C209" s="183"/>
      <c r="D209" s="183"/>
      <c r="E209" s="184"/>
      <c r="F209" s="183"/>
      <c r="G209" s="350"/>
      <c r="H209" s="183"/>
      <c r="I209" s="355"/>
      <c r="J209" s="360"/>
    </row>
    <row r="210" spans="1:10" hidden="1">
      <c r="A210" s="357">
        <v>288</v>
      </c>
      <c r="B210" s="182"/>
      <c r="C210" s="183"/>
      <c r="D210" s="183"/>
      <c r="E210" s="184"/>
      <c r="F210" s="183"/>
      <c r="G210" s="350"/>
      <c r="H210" s="183"/>
      <c r="I210" s="355"/>
      <c r="J210" s="360"/>
    </row>
    <row r="211" spans="1:10" hidden="1">
      <c r="A211" s="358">
        <v>289</v>
      </c>
      <c r="B211" s="182"/>
      <c r="C211" s="183"/>
      <c r="D211" s="183"/>
      <c r="E211" s="184"/>
      <c r="F211" s="183"/>
      <c r="G211" s="350"/>
      <c r="H211" s="183"/>
      <c r="I211" s="355"/>
      <c r="J211" s="360"/>
    </row>
    <row r="212" spans="1:10" hidden="1">
      <c r="A212" s="357">
        <v>290</v>
      </c>
      <c r="B212" s="182"/>
      <c r="C212" s="183"/>
      <c r="D212" s="183"/>
      <c r="E212" s="184"/>
      <c r="F212" s="183"/>
      <c r="G212" s="350"/>
      <c r="H212" s="183"/>
      <c r="I212" s="355"/>
      <c r="J212" s="360"/>
    </row>
    <row r="213" spans="1:10" hidden="1">
      <c r="A213" s="357">
        <v>291</v>
      </c>
      <c r="B213" s="182"/>
      <c r="C213" s="183"/>
      <c r="D213" s="183"/>
      <c r="E213" s="184"/>
      <c r="F213" s="183"/>
      <c r="G213" s="350"/>
      <c r="H213" s="183"/>
      <c r="I213" s="355"/>
      <c r="J213" s="360"/>
    </row>
    <row r="214" spans="1:10" hidden="1">
      <c r="A214" s="357">
        <v>292</v>
      </c>
      <c r="B214" s="182"/>
      <c r="C214" s="183"/>
      <c r="D214" s="183"/>
      <c r="E214" s="184"/>
      <c r="F214" s="183"/>
      <c r="G214" s="350"/>
      <c r="H214" s="183"/>
      <c r="I214" s="355"/>
      <c r="J214" s="360"/>
    </row>
    <row r="215" spans="1:10" hidden="1">
      <c r="A215" s="357">
        <v>293</v>
      </c>
      <c r="B215" s="182"/>
      <c r="C215" s="183"/>
      <c r="D215" s="183"/>
      <c r="E215" s="184"/>
      <c r="F215" s="183"/>
      <c r="G215" s="350"/>
      <c r="H215" s="183"/>
      <c r="I215" s="355"/>
      <c r="J215" s="360"/>
    </row>
    <row r="216" spans="1:10" hidden="1">
      <c r="A216" s="357">
        <v>294</v>
      </c>
      <c r="B216" s="182"/>
      <c r="C216" s="183"/>
      <c r="D216" s="183"/>
      <c r="E216" s="184"/>
      <c r="F216" s="183"/>
      <c r="G216" s="350"/>
      <c r="H216" s="183"/>
      <c r="I216" s="355"/>
      <c r="J216" s="360"/>
    </row>
    <row r="217" spans="1:10" hidden="1">
      <c r="A217" s="357">
        <v>295</v>
      </c>
      <c r="B217" s="182"/>
      <c r="C217" s="183"/>
      <c r="D217" s="183"/>
      <c r="E217" s="184"/>
      <c r="F217" s="183"/>
      <c r="G217" s="350"/>
      <c r="H217" s="183"/>
      <c r="I217" s="355"/>
      <c r="J217" s="360"/>
    </row>
    <row r="218" spans="1:10" hidden="1">
      <c r="A218" s="357">
        <v>296</v>
      </c>
      <c r="B218" s="182"/>
      <c r="C218" s="183"/>
      <c r="D218" s="183"/>
      <c r="E218" s="184"/>
      <c r="F218" s="183"/>
      <c r="G218" s="350"/>
      <c r="H218" s="183"/>
      <c r="I218" s="355"/>
      <c r="J218" s="360"/>
    </row>
    <row r="219" spans="1:10" hidden="1">
      <c r="A219" s="357">
        <v>297</v>
      </c>
      <c r="B219" s="182"/>
      <c r="C219" s="183"/>
      <c r="D219" s="183"/>
      <c r="E219" s="184"/>
      <c r="F219" s="183"/>
      <c r="G219" s="350"/>
      <c r="H219" s="183"/>
      <c r="I219" s="355"/>
      <c r="J219" s="360"/>
    </row>
    <row r="220" spans="1:10" hidden="1">
      <c r="A220" s="358">
        <v>298</v>
      </c>
      <c r="B220" s="182"/>
      <c r="C220" s="183"/>
      <c r="D220" s="183"/>
      <c r="E220" s="184"/>
      <c r="F220" s="183"/>
      <c r="G220" s="350"/>
      <c r="H220" s="183"/>
      <c r="I220" s="355"/>
      <c r="J220" s="360"/>
    </row>
    <row r="221" spans="1:10" hidden="1">
      <c r="A221" s="357">
        <v>299</v>
      </c>
      <c r="B221" s="182"/>
      <c r="C221" s="183"/>
      <c r="D221" s="183"/>
      <c r="E221" s="184"/>
      <c r="F221" s="183"/>
      <c r="G221" s="350"/>
      <c r="H221" s="183"/>
      <c r="I221" s="355"/>
      <c r="J221" s="360"/>
    </row>
    <row r="222" spans="1:10" hidden="1">
      <c r="A222" s="357">
        <v>300</v>
      </c>
      <c r="B222" s="182"/>
      <c r="C222" s="183"/>
      <c r="D222" s="183"/>
      <c r="E222" s="184"/>
      <c r="F222" s="183"/>
      <c r="G222" s="350"/>
      <c r="H222" s="183"/>
      <c r="I222" s="355"/>
      <c r="J222" s="360"/>
    </row>
    <row r="223" spans="1:10" hidden="1">
      <c r="A223" s="357">
        <v>301</v>
      </c>
      <c r="B223" s="182"/>
      <c r="C223" s="183"/>
      <c r="D223" s="183"/>
      <c r="E223" s="184"/>
      <c r="F223" s="183"/>
      <c r="G223" s="350"/>
      <c r="H223" s="183"/>
      <c r="I223" s="355"/>
      <c r="J223" s="360"/>
    </row>
    <row r="224" spans="1:10" hidden="1">
      <c r="A224" s="357">
        <v>302</v>
      </c>
      <c r="B224" s="182"/>
      <c r="C224" s="183"/>
      <c r="D224" s="183"/>
      <c r="E224" s="184"/>
      <c r="F224" s="183"/>
      <c r="G224" s="350"/>
      <c r="H224" s="183"/>
      <c r="I224" s="355"/>
      <c r="J224" s="360"/>
    </row>
    <row r="225" spans="1:10" hidden="1">
      <c r="A225" s="357">
        <v>303</v>
      </c>
      <c r="B225" s="182"/>
      <c r="C225" s="183"/>
      <c r="D225" s="183"/>
      <c r="E225" s="184"/>
      <c r="F225" s="183"/>
      <c r="G225" s="350"/>
      <c r="H225" s="183"/>
      <c r="I225" s="355"/>
      <c r="J225" s="360"/>
    </row>
    <row r="226" spans="1:10" hidden="1">
      <c r="A226" s="357">
        <v>304</v>
      </c>
      <c r="B226" s="182"/>
      <c r="C226" s="183"/>
      <c r="D226" s="183"/>
      <c r="E226" s="184"/>
      <c r="F226" s="183"/>
      <c r="G226" s="350"/>
      <c r="H226" s="183"/>
      <c r="I226" s="355"/>
      <c r="J226" s="360"/>
    </row>
    <row r="227" spans="1:10" hidden="1">
      <c r="A227" s="357">
        <v>305</v>
      </c>
      <c r="B227" s="182"/>
      <c r="C227" s="183"/>
      <c r="D227" s="183"/>
      <c r="E227" s="184"/>
      <c r="F227" s="183"/>
      <c r="G227" s="350"/>
      <c r="H227" s="183"/>
      <c r="I227" s="355"/>
      <c r="J227" s="360"/>
    </row>
    <row r="228" spans="1:10" hidden="1">
      <c r="A228" s="357">
        <v>306</v>
      </c>
      <c r="B228" s="182"/>
      <c r="C228" s="183"/>
      <c r="D228" s="183"/>
      <c r="E228" s="184"/>
      <c r="F228" s="183"/>
      <c r="G228" s="350"/>
      <c r="H228" s="183"/>
      <c r="I228" s="355"/>
      <c r="J228" s="360"/>
    </row>
    <row r="229" spans="1:10" hidden="1">
      <c r="A229" s="358">
        <v>307</v>
      </c>
      <c r="B229" s="182"/>
      <c r="C229" s="183"/>
      <c r="D229" s="183"/>
      <c r="E229" s="184"/>
      <c r="F229" s="183"/>
      <c r="G229" s="350"/>
      <c r="H229" s="183"/>
      <c r="I229" s="355"/>
      <c r="J229" s="360"/>
    </row>
    <row r="230" spans="1:10" hidden="1">
      <c r="A230" s="357">
        <v>308</v>
      </c>
      <c r="B230" s="182"/>
      <c r="C230" s="183"/>
      <c r="D230" s="183"/>
      <c r="E230" s="184"/>
      <c r="F230" s="183"/>
      <c r="G230" s="350"/>
      <c r="H230" s="183"/>
      <c r="I230" s="355"/>
      <c r="J230" s="360"/>
    </row>
    <row r="231" spans="1:10" hidden="1">
      <c r="A231" s="357">
        <v>309</v>
      </c>
      <c r="B231" s="182"/>
      <c r="C231" s="183"/>
      <c r="D231" s="183"/>
      <c r="E231" s="184"/>
      <c r="F231" s="183"/>
      <c r="G231" s="350"/>
      <c r="H231" s="183"/>
      <c r="I231" s="355"/>
      <c r="J231" s="360"/>
    </row>
    <row r="232" spans="1:10" hidden="1">
      <c r="A232" s="357">
        <v>310</v>
      </c>
      <c r="B232" s="182"/>
      <c r="C232" s="183"/>
      <c r="D232" s="183"/>
      <c r="E232" s="184"/>
      <c r="F232" s="183"/>
      <c r="G232" s="350"/>
      <c r="H232" s="183"/>
      <c r="I232" s="355"/>
      <c r="J232" s="360"/>
    </row>
    <row r="233" spans="1:10" hidden="1">
      <c r="A233" s="357">
        <v>311</v>
      </c>
      <c r="B233" s="182"/>
      <c r="C233" s="183"/>
      <c r="D233" s="183"/>
      <c r="E233" s="184"/>
      <c r="F233" s="183"/>
      <c r="G233" s="350"/>
      <c r="H233" s="183"/>
      <c r="I233" s="355"/>
      <c r="J233" s="360"/>
    </row>
    <row r="234" spans="1:10" hidden="1">
      <c r="A234" s="357">
        <v>312</v>
      </c>
      <c r="B234" s="182"/>
      <c r="C234" s="183"/>
      <c r="D234" s="183"/>
      <c r="E234" s="184"/>
      <c r="F234" s="183"/>
      <c r="G234" s="350"/>
      <c r="H234" s="183"/>
      <c r="I234" s="355"/>
      <c r="J234" s="360"/>
    </row>
    <row r="235" spans="1:10" hidden="1">
      <c r="A235" s="357">
        <v>313</v>
      </c>
      <c r="B235" s="182"/>
      <c r="C235" s="183"/>
      <c r="D235" s="183"/>
      <c r="E235" s="184"/>
      <c r="F235" s="183"/>
      <c r="G235" s="350"/>
      <c r="H235" s="183"/>
      <c r="I235" s="355"/>
      <c r="J235" s="360"/>
    </row>
    <row r="236" spans="1:10" hidden="1">
      <c r="A236" s="357">
        <v>314</v>
      </c>
      <c r="B236" s="182"/>
      <c r="C236" s="183"/>
      <c r="D236" s="183"/>
      <c r="E236" s="184"/>
      <c r="F236" s="183"/>
      <c r="G236" s="350"/>
      <c r="H236" s="183"/>
      <c r="I236" s="355"/>
      <c r="J236" s="360"/>
    </row>
    <row r="237" spans="1:10" hidden="1">
      <c r="A237" s="357">
        <v>315</v>
      </c>
      <c r="B237" s="182"/>
      <c r="C237" s="183"/>
      <c r="D237" s="183"/>
      <c r="E237" s="184"/>
      <c r="F237" s="183"/>
      <c r="G237" s="350"/>
      <c r="H237" s="183"/>
      <c r="I237" s="355"/>
      <c r="J237" s="360"/>
    </row>
    <row r="238" spans="1:10" hidden="1">
      <c r="A238" s="358">
        <v>316</v>
      </c>
      <c r="B238" s="182"/>
      <c r="C238" s="183"/>
      <c r="D238" s="183"/>
      <c r="E238" s="184"/>
      <c r="F238" s="183"/>
      <c r="G238" s="350"/>
      <c r="H238" s="183"/>
      <c r="I238" s="355"/>
      <c r="J238" s="360"/>
    </row>
    <row r="239" spans="1:10" hidden="1">
      <c r="A239" s="357">
        <v>317</v>
      </c>
      <c r="B239" s="182"/>
      <c r="C239" s="183"/>
      <c r="D239" s="183"/>
      <c r="E239" s="184"/>
      <c r="F239" s="183"/>
      <c r="G239" s="350"/>
      <c r="H239" s="183"/>
      <c r="I239" s="355"/>
      <c r="J239" s="360"/>
    </row>
    <row r="240" spans="1:10" hidden="1">
      <c r="A240" s="357">
        <v>318</v>
      </c>
      <c r="B240" s="182"/>
      <c r="C240" s="183"/>
      <c r="D240" s="183"/>
      <c r="E240" s="184"/>
      <c r="F240" s="183"/>
      <c r="G240" s="350"/>
      <c r="H240" s="183"/>
      <c r="I240" s="355"/>
      <c r="J240" s="360"/>
    </row>
    <row r="241" spans="1:10" hidden="1">
      <c r="A241" s="357">
        <v>319</v>
      </c>
      <c r="B241" s="182"/>
      <c r="C241" s="183"/>
      <c r="D241" s="183"/>
      <c r="E241" s="184"/>
      <c r="F241" s="183"/>
      <c r="G241" s="350"/>
      <c r="H241" s="183"/>
      <c r="I241" s="355"/>
      <c r="J241" s="360"/>
    </row>
    <row r="242" spans="1:10" hidden="1">
      <c r="A242" s="357">
        <v>320</v>
      </c>
      <c r="B242" s="182"/>
      <c r="C242" s="183"/>
      <c r="D242" s="183"/>
      <c r="E242" s="184"/>
      <c r="F242" s="183"/>
      <c r="G242" s="350"/>
      <c r="H242" s="183"/>
      <c r="I242" s="355"/>
      <c r="J242" s="360"/>
    </row>
    <row r="243" spans="1:10" hidden="1">
      <c r="A243" s="357">
        <v>321</v>
      </c>
      <c r="B243" s="182"/>
      <c r="C243" s="183"/>
      <c r="D243" s="183"/>
      <c r="E243" s="184"/>
      <c r="F243" s="183"/>
      <c r="G243" s="350"/>
      <c r="H243" s="183"/>
      <c r="I243" s="355"/>
      <c r="J243" s="360"/>
    </row>
    <row r="244" spans="1:10" hidden="1">
      <c r="A244" s="357">
        <v>322</v>
      </c>
      <c r="B244" s="182"/>
      <c r="C244" s="183"/>
      <c r="D244" s="183"/>
      <c r="E244" s="184"/>
      <c r="F244" s="183"/>
      <c r="G244" s="350"/>
      <c r="H244" s="183"/>
      <c r="I244" s="355"/>
      <c r="J244" s="360"/>
    </row>
    <row r="245" spans="1:10" hidden="1">
      <c r="A245" s="357">
        <v>323</v>
      </c>
      <c r="B245" s="182"/>
      <c r="C245" s="183"/>
      <c r="D245" s="183"/>
      <c r="E245" s="184"/>
      <c r="F245" s="183"/>
      <c r="G245" s="350"/>
      <c r="H245" s="183"/>
      <c r="I245" s="355"/>
      <c r="J245" s="360"/>
    </row>
    <row r="246" spans="1:10" hidden="1">
      <c r="A246" s="357">
        <v>324</v>
      </c>
      <c r="B246" s="182"/>
      <c r="C246" s="183"/>
      <c r="D246" s="183"/>
      <c r="E246" s="184"/>
      <c r="F246" s="183"/>
      <c r="G246" s="350"/>
      <c r="H246" s="183"/>
      <c r="I246" s="355"/>
      <c r="J246" s="360"/>
    </row>
    <row r="247" spans="1:10" hidden="1">
      <c r="A247" s="358">
        <v>325</v>
      </c>
      <c r="B247" s="182"/>
      <c r="C247" s="183"/>
      <c r="D247" s="183"/>
      <c r="E247" s="184"/>
      <c r="F247" s="183"/>
      <c r="G247" s="350"/>
      <c r="H247" s="183"/>
      <c r="I247" s="355"/>
      <c r="J247" s="360"/>
    </row>
    <row r="248" spans="1:10" hidden="1">
      <c r="A248" s="357">
        <v>326</v>
      </c>
      <c r="B248" s="182"/>
      <c r="C248" s="183"/>
      <c r="D248" s="183"/>
      <c r="E248" s="184"/>
      <c r="F248" s="183"/>
      <c r="G248" s="350"/>
      <c r="H248" s="183"/>
      <c r="I248" s="355"/>
      <c r="J248" s="360"/>
    </row>
    <row r="249" spans="1:10" hidden="1">
      <c r="A249" s="357">
        <v>327</v>
      </c>
      <c r="B249" s="182"/>
      <c r="C249" s="183"/>
      <c r="D249" s="183"/>
      <c r="E249" s="184"/>
      <c r="F249" s="183"/>
      <c r="G249" s="350"/>
      <c r="H249" s="183"/>
      <c r="I249" s="355"/>
      <c r="J249" s="360"/>
    </row>
    <row r="250" spans="1:10" hidden="1">
      <c r="A250" s="357">
        <v>328</v>
      </c>
      <c r="B250" s="182"/>
      <c r="C250" s="183"/>
      <c r="D250" s="183"/>
      <c r="E250" s="184"/>
      <c r="F250" s="183"/>
      <c r="G250" s="350"/>
      <c r="H250" s="183"/>
      <c r="I250" s="355"/>
      <c r="J250" s="360"/>
    </row>
    <row r="251" spans="1:10" hidden="1">
      <c r="A251" s="357">
        <v>329</v>
      </c>
      <c r="B251" s="182"/>
      <c r="C251" s="183"/>
      <c r="D251" s="183"/>
      <c r="E251" s="184"/>
      <c r="F251" s="183"/>
      <c r="G251" s="350"/>
      <c r="H251" s="183"/>
      <c r="I251" s="355"/>
      <c r="J251" s="360"/>
    </row>
    <row r="252" spans="1:10" hidden="1">
      <c r="A252" s="357">
        <v>330</v>
      </c>
      <c r="B252" s="182"/>
      <c r="C252" s="183"/>
      <c r="D252" s="183"/>
      <c r="E252" s="184"/>
      <c r="F252" s="183"/>
      <c r="G252" s="350"/>
      <c r="H252" s="183"/>
      <c r="I252" s="355"/>
      <c r="J252" s="360"/>
    </row>
    <row r="253" spans="1:10" hidden="1">
      <c r="A253" s="357">
        <v>331</v>
      </c>
      <c r="B253" s="182"/>
      <c r="C253" s="183"/>
      <c r="D253" s="183"/>
      <c r="E253" s="184"/>
      <c r="F253" s="183"/>
      <c r="G253" s="350"/>
      <c r="H253" s="183"/>
      <c r="I253" s="355"/>
      <c r="J253" s="360"/>
    </row>
    <row r="254" spans="1:10" hidden="1">
      <c r="A254" s="357">
        <v>332</v>
      </c>
      <c r="B254" s="182"/>
      <c r="C254" s="183"/>
      <c r="D254" s="183"/>
      <c r="E254" s="184"/>
      <c r="F254" s="183"/>
      <c r="G254" s="350"/>
      <c r="H254" s="183"/>
      <c r="I254" s="355"/>
      <c r="J254" s="360"/>
    </row>
    <row r="255" spans="1:10" hidden="1">
      <c r="A255" s="357">
        <v>333</v>
      </c>
      <c r="B255" s="182"/>
      <c r="C255" s="183"/>
      <c r="D255" s="183"/>
      <c r="E255" s="184"/>
      <c r="F255" s="183"/>
      <c r="G255" s="350"/>
      <c r="H255" s="183"/>
      <c r="I255" s="355"/>
      <c r="J255" s="360"/>
    </row>
    <row r="256" spans="1:10" hidden="1">
      <c r="A256" s="358">
        <v>334</v>
      </c>
      <c r="B256" s="182"/>
      <c r="C256" s="183"/>
      <c r="D256" s="183"/>
      <c r="E256" s="184"/>
      <c r="F256" s="183"/>
      <c r="G256" s="350"/>
      <c r="H256" s="183"/>
      <c r="I256" s="355"/>
      <c r="J256" s="360"/>
    </row>
    <row r="257" spans="1:10" hidden="1">
      <c r="A257" s="357">
        <v>335</v>
      </c>
      <c r="B257" s="182"/>
      <c r="C257" s="183"/>
      <c r="D257" s="183"/>
      <c r="E257" s="184"/>
      <c r="F257" s="183"/>
      <c r="G257" s="350"/>
      <c r="H257" s="183"/>
      <c r="I257" s="355"/>
      <c r="J257" s="360"/>
    </row>
    <row r="258" spans="1:10" hidden="1">
      <c r="A258" s="357">
        <v>336</v>
      </c>
      <c r="B258" s="182"/>
      <c r="C258" s="183"/>
      <c r="D258" s="183"/>
      <c r="E258" s="184"/>
      <c r="F258" s="183"/>
      <c r="G258" s="350"/>
      <c r="H258" s="183"/>
      <c r="I258" s="355"/>
      <c r="J258" s="360"/>
    </row>
    <row r="259" spans="1:10" hidden="1">
      <c r="A259" s="357">
        <v>337</v>
      </c>
      <c r="B259" s="182"/>
      <c r="C259" s="183"/>
      <c r="D259" s="183"/>
      <c r="E259" s="184"/>
      <c r="F259" s="183"/>
      <c r="G259" s="350"/>
      <c r="H259" s="183"/>
      <c r="I259" s="355"/>
      <c r="J259" s="360"/>
    </row>
    <row r="260" spans="1:10" hidden="1">
      <c r="A260" s="357">
        <v>338</v>
      </c>
      <c r="B260" s="182"/>
      <c r="C260" s="183"/>
      <c r="D260" s="183"/>
      <c r="E260" s="184"/>
      <c r="F260" s="183"/>
      <c r="G260" s="350"/>
      <c r="H260" s="183"/>
      <c r="I260" s="355"/>
      <c r="J260" s="360"/>
    </row>
    <row r="261" spans="1:10" hidden="1">
      <c r="A261" s="357">
        <v>339</v>
      </c>
      <c r="B261" s="182"/>
      <c r="C261" s="183"/>
      <c r="D261" s="183"/>
      <c r="E261" s="184"/>
      <c r="F261" s="183"/>
      <c r="G261" s="350"/>
      <c r="H261" s="183"/>
      <c r="I261" s="355"/>
      <c r="J261" s="360"/>
    </row>
    <row r="262" spans="1:10" hidden="1">
      <c r="A262" s="357">
        <v>340</v>
      </c>
      <c r="B262" s="182"/>
      <c r="C262" s="183"/>
      <c r="D262" s="183"/>
      <c r="E262" s="184"/>
      <c r="F262" s="183"/>
      <c r="G262" s="350"/>
      <c r="H262" s="183"/>
      <c r="I262" s="355"/>
      <c r="J262" s="360"/>
    </row>
    <row r="263" spans="1:10" hidden="1">
      <c r="A263" s="357">
        <v>341</v>
      </c>
      <c r="B263" s="182"/>
      <c r="C263" s="183"/>
      <c r="D263" s="183"/>
      <c r="E263" s="184"/>
      <c r="F263" s="183"/>
      <c r="G263" s="350"/>
      <c r="H263" s="183"/>
      <c r="I263" s="355"/>
      <c r="J263" s="360"/>
    </row>
    <row r="264" spans="1:10" hidden="1">
      <c r="A264" s="357">
        <v>342</v>
      </c>
      <c r="B264" s="182"/>
      <c r="C264" s="183"/>
      <c r="D264" s="183"/>
      <c r="E264" s="184"/>
      <c r="F264" s="183"/>
      <c r="G264" s="350"/>
      <c r="H264" s="183"/>
      <c r="I264" s="355"/>
      <c r="J264" s="360"/>
    </row>
    <row r="265" spans="1:10" hidden="1">
      <c r="A265" s="358">
        <v>343</v>
      </c>
      <c r="B265" s="182"/>
      <c r="C265" s="183"/>
      <c r="D265" s="183"/>
      <c r="E265" s="184"/>
      <c r="F265" s="183"/>
      <c r="G265" s="350"/>
      <c r="H265" s="183"/>
      <c r="I265" s="355"/>
      <c r="J265" s="360"/>
    </row>
    <row r="266" spans="1:10" hidden="1">
      <c r="A266" s="357">
        <v>344</v>
      </c>
      <c r="B266" s="182"/>
      <c r="C266" s="183"/>
      <c r="D266" s="183"/>
      <c r="E266" s="184"/>
      <c r="F266" s="183"/>
      <c r="G266" s="350"/>
      <c r="H266" s="183"/>
      <c r="I266" s="355"/>
      <c r="J266" s="360"/>
    </row>
    <row r="267" spans="1:10" hidden="1">
      <c r="A267" s="357">
        <v>345</v>
      </c>
      <c r="B267" s="182"/>
      <c r="C267" s="183"/>
      <c r="D267" s="183"/>
      <c r="E267" s="184"/>
      <c r="F267" s="183"/>
      <c r="G267" s="350"/>
      <c r="H267" s="183"/>
      <c r="I267" s="355"/>
      <c r="J267" s="360"/>
    </row>
    <row r="268" spans="1:10" hidden="1">
      <c r="A268" s="357">
        <v>346</v>
      </c>
      <c r="B268" s="182"/>
      <c r="C268" s="183"/>
      <c r="D268" s="183"/>
      <c r="E268" s="184"/>
      <c r="F268" s="183"/>
      <c r="G268" s="350"/>
      <c r="H268" s="183"/>
      <c r="I268" s="355"/>
      <c r="J268" s="360"/>
    </row>
    <row r="269" spans="1:10" hidden="1">
      <c r="A269" s="357">
        <v>347</v>
      </c>
      <c r="B269" s="182"/>
      <c r="C269" s="183"/>
      <c r="D269" s="183"/>
      <c r="E269" s="184"/>
      <c r="F269" s="183"/>
      <c r="G269" s="350"/>
      <c r="H269" s="183"/>
      <c r="I269" s="355"/>
      <c r="J269" s="360"/>
    </row>
    <row r="270" spans="1:10" hidden="1">
      <c r="A270" s="357">
        <v>348</v>
      </c>
      <c r="B270" s="182"/>
      <c r="C270" s="183"/>
      <c r="D270" s="183"/>
      <c r="E270" s="184"/>
      <c r="F270" s="183"/>
      <c r="G270" s="350"/>
      <c r="H270" s="183"/>
      <c r="I270" s="355"/>
      <c r="J270" s="360"/>
    </row>
    <row r="271" spans="1:10" hidden="1">
      <c r="A271" s="357">
        <v>349</v>
      </c>
      <c r="B271" s="182"/>
      <c r="C271" s="183"/>
      <c r="D271" s="183"/>
      <c r="E271" s="184"/>
      <c r="F271" s="183"/>
      <c r="G271" s="350"/>
      <c r="H271" s="183"/>
      <c r="I271" s="355"/>
      <c r="J271" s="360"/>
    </row>
    <row r="272" spans="1:10" hidden="1">
      <c r="A272" s="357">
        <v>350</v>
      </c>
      <c r="B272" s="182"/>
      <c r="C272" s="183"/>
      <c r="D272" s="183"/>
      <c r="E272" s="184"/>
      <c r="F272" s="183"/>
      <c r="G272" s="350"/>
      <c r="H272" s="183"/>
      <c r="I272" s="355"/>
      <c r="J272" s="360"/>
    </row>
    <row r="273" spans="1:10" hidden="1">
      <c r="A273" s="357">
        <v>351</v>
      </c>
      <c r="B273" s="182"/>
      <c r="C273" s="183"/>
      <c r="D273" s="183"/>
      <c r="E273" s="184"/>
      <c r="F273" s="183"/>
      <c r="G273" s="350"/>
      <c r="H273" s="183"/>
      <c r="I273" s="355"/>
      <c r="J273" s="360"/>
    </row>
    <row r="274" spans="1:10" hidden="1">
      <c r="A274" s="358">
        <v>352</v>
      </c>
      <c r="B274" s="182"/>
      <c r="C274" s="183"/>
      <c r="D274" s="183"/>
      <c r="E274" s="184"/>
      <c r="F274" s="183"/>
      <c r="G274" s="350"/>
      <c r="H274" s="183"/>
      <c r="I274" s="355"/>
      <c r="J274" s="360"/>
    </row>
    <row r="275" spans="1:10" hidden="1">
      <c r="A275" s="357">
        <v>353</v>
      </c>
      <c r="B275" s="182"/>
      <c r="C275" s="183"/>
      <c r="D275" s="183"/>
      <c r="E275" s="184"/>
      <c r="F275" s="183"/>
      <c r="G275" s="350"/>
      <c r="H275" s="183"/>
      <c r="I275" s="355"/>
      <c r="J275" s="360"/>
    </row>
    <row r="276" spans="1:10" hidden="1">
      <c r="A276" s="357">
        <v>354</v>
      </c>
      <c r="B276" s="182"/>
      <c r="C276" s="183"/>
      <c r="D276" s="183"/>
      <c r="E276" s="184"/>
      <c r="F276" s="183"/>
      <c r="G276" s="350"/>
      <c r="H276" s="183"/>
      <c r="I276" s="355"/>
      <c r="J276" s="360"/>
    </row>
    <row r="277" spans="1:10" hidden="1">
      <c r="A277" s="357">
        <v>355</v>
      </c>
      <c r="B277" s="182"/>
      <c r="C277" s="183"/>
      <c r="D277" s="183"/>
      <c r="E277" s="184"/>
      <c r="F277" s="183"/>
      <c r="G277" s="350"/>
      <c r="H277" s="183"/>
      <c r="I277" s="355"/>
      <c r="J277" s="360"/>
    </row>
    <row r="278" spans="1:10" hidden="1">
      <c r="A278" s="357">
        <v>356</v>
      </c>
      <c r="B278" s="182"/>
      <c r="C278" s="183"/>
      <c r="D278" s="183"/>
      <c r="E278" s="184"/>
      <c r="F278" s="183"/>
      <c r="G278" s="350"/>
      <c r="H278" s="183"/>
      <c r="I278" s="355"/>
      <c r="J278" s="360"/>
    </row>
    <row r="279" spans="1:10" hidden="1">
      <c r="A279" s="357">
        <v>357</v>
      </c>
      <c r="B279" s="182"/>
      <c r="C279" s="183"/>
      <c r="D279" s="183"/>
      <c r="E279" s="184"/>
      <c r="F279" s="183"/>
      <c r="G279" s="350"/>
      <c r="H279" s="183"/>
      <c r="I279" s="355"/>
      <c r="J279" s="360"/>
    </row>
    <row r="280" spans="1:10" hidden="1">
      <c r="A280" s="357">
        <v>358</v>
      </c>
      <c r="B280" s="182"/>
      <c r="C280" s="183"/>
      <c r="D280" s="183"/>
      <c r="E280" s="184"/>
      <c r="F280" s="183"/>
      <c r="G280" s="350"/>
      <c r="H280" s="183"/>
      <c r="I280" s="355"/>
      <c r="J280" s="360"/>
    </row>
    <row r="281" spans="1:10" hidden="1">
      <c r="A281" s="357">
        <v>359</v>
      </c>
      <c r="B281" s="182"/>
      <c r="C281" s="183"/>
      <c r="D281" s="183"/>
      <c r="E281" s="184"/>
      <c r="F281" s="183"/>
      <c r="G281" s="350"/>
      <c r="H281" s="183"/>
      <c r="I281" s="355"/>
      <c r="J281" s="360"/>
    </row>
    <row r="282" spans="1:10" hidden="1">
      <c r="A282" s="357">
        <v>360</v>
      </c>
      <c r="B282" s="182"/>
      <c r="C282" s="183"/>
      <c r="D282" s="183"/>
      <c r="E282" s="184"/>
      <c r="F282" s="183"/>
      <c r="G282" s="350"/>
      <c r="H282" s="183"/>
      <c r="I282" s="355"/>
      <c r="J282" s="360"/>
    </row>
    <row r="283" spans="1:10" hidden="1">
      <c r="A283" s="358">
        <v>361</v>
      </c>
      <c r="B283" s="182"/>
      <c r="C283" s="183"/>
      <c r="D283" s="183"/>
      <c r="E283" s="184"/>
      <c r="F283" s="183"/>
      <c r="G283" s="350"/>
      <c r="H283" s="183"/>
      <c r="I283" s="355"/>
      <c r="J283" s="360"/>
    </row>
    <row r="284" spans="1:10" hidden="1">
      <c r="A284" s="357">
        <v>362</v>
      </c>
      <c r="B284" s="182"/>
      <c r="C284" s="183"/>
      <c r="D284" s="183"/>
      <c r="E284" s="184"/>
      <c r="F284" s="183"/>
      <c r="G284" s="350"/>
      <c r="H284" s="183"/>
      <c r="I284" s="355"/>
      <c r="J284" s="360"/>
    </row>
    <row r="285" spans="1:10" hidden="1">
      <c r="A285" s="357">
        <v>363</v>
      </c>
      <c r="B285" s="182"/>
      <c r="C285" s="183"/>
      <c r="D285" s="183"/>
      <c r="E285" s="184"/>
      <c r="F285" s="183"/>
      <c r="G285" s="350"/>
      <c r="H285" s="183"/>
      <c r="I285" s="355"/>
      <c r="J285" s="360"/>
    </row>
    <row r="286" spans="1:10" hidden="1">
      <c r="A286" s="357">
        <v>364</v>
      </c>
      <c r="B286" s="182"/>
      <c r="C286" s="183"/>
      <c r="D286" s="183"/>
      <c r="E286" s="184"/>
      <c r="F286" s="183"/>
      <c r="G286" s="350"/>
      <c r="H286" s="183"/>
      <c r="I286" s="355"/>
      <c r="J286" s="360"/>
    </row>
    <row r="287" spans="1:10" hidden="1">
      <c r="A287" s="357">
        <v>365</v>
      </c>
      <c r="B287" s="182"/>
      <c r="C287" s="183"/>
      <c r="D287" s="183"/>
      <c r="E287" s="184"/>
      <c r="F287" s="183"/>
      <c r="G287" s="350"/>
      <c r="H287" s="183"/>
      <c r="I287" s="355"/>
      <c r="J287" s="360"/>
    </row>
    <row r="288" spans="1:10" hidden="1">
      <c r="A288" s="357">
        <v>366</v>
      </c>
      <c r="B288" s="182"/>
      <c r="C288" s="183"/>
      <c r="D288" s="183"/>
      <c r="E288" s="184"/>
      <c r="F288" s="183"/>
      <c r="G288" s="350"/>
      <c r="H288" s="183"/>
      <c r="I288" s="355"/>
      <c r="J288" s="360"/>
    </row>
    <row r="289" spans="1:10" hidden="1">
      <c r="A289" s="357">
        <v>367</v>
      </c>
      <c r="B289" s="182"/>
      <c r="C289" s="183"/>
      <c r="D289" s="183"/>
      <c r="E289" s="184"/>
      <c r="F289" s="183"/>
      <c r="G289" s="350"/>
      <c r="H289" s="183"/>
      <c r="I289" s="355"/>
      <c r="J289" s="360"/>
    </row>
    <row r="290" spans="1:10" hidden="1">
      <c r="A290" s="357">
        <v>368</v>
      </c>
      <c r="B290" s="182"/>
      <c r="C290" s="183"/>
      <c r="D290" s="183"/>
      <c r="E290" s="184"/>
      <c r="F290" s="183"/>
      <c r="G290" s="350"/>
      <c r="H290" s="183"/>
      <c r="I290" s="355"/>
      <c r="J290" s="360"/>
    </row>
    <row r="291" spans="1:10" hidden="1">
      <c r="A291" s="357">
        <v>369</v>
      </c>
      <c r="B291" s="182"/>
      <c r="C291" s="183"/>
      <c r="D291" s="183"/>
      <c r="E291" s="184"/>
      <c r="F291" s="183"/>
      <c r="G291" s="350"/>
      <c r="H291" s="183"/>
      <c r="I291" s="355"/>
      <c r="J291" s="360"/>
    </row>
    <row r="292" spans="1:10" hidden="1">
      <c r="A292" s="358">
        <v>370</v>
      </c>
      <c r="B292" s="182"/>
      <c r="C292" s="183"/>
      <c r="D292" s="183"/>
      <c r="E292" s="184"/>
      <c r="F292" s="183"/>
      <c r="G292" s="350"/>
      <c r="H292" s="183"/>
      <c r="I292" s="355"/>
      <c r="J292" s="360"/>
    </row>
    <row r="293" spans="1:10" hidden="1">
      <c r="A293" s="357">
        <v>371</v>
      </c>
      <c r="B293" s="182"/>
      <c r="C293" s="183"/>
      <c r="D293" s="183"/>
      <c r="E293" s="184"/>
      <c r="F293" s="183"/>
      <c r="G293" s="350"/>
      <c r="H293" s="183"/>
      <c r="I293" s="355"/>
      <c r="J293" s="360"/>
    </row>
    <row r="294" spans="1:10" hidden="1">
      <c r="A294" s="357">
        <v>372</v>
      </c>
      <c r="B294" s="182"/>
      <c r="C294" s="183"/>
      <c r="D294" s="183"/>
      <c r="E294" s="184"/>
      <c r="F294" s="183"/>
      <c r="G294" s="350"/>
      <c r="H294" s="183"/>
      <c r="I294" s="355"/>
      <c r="J294" s="360"/>
    </row>
    <row r="295" spans="1:10" hidden="1">
      <c r="A295" s="357">
        <v>373</v>
      </c>
      <c r="B295" s="182"/>
      <c r="C295" s="183"/>
      <c r="D295" s="183"/>
      <c r="E295" s="184"/>
      <c r="F295" s="183"/>
      <c r="G295" s="350"/>
      <c r="H295" s="183"/>
      <c r="I295" s="355"/>
      <c r="J295" s="360"/>
    </row>
    <row r="296" spans="1:10" hidden="1">
      <c r="A296" s="357">
        <v>374</v>
      </c>
      <c r="B296" s="182"/>
      <c r="C296" s="183"/>
      <c r="D296" s="183"/>
      <c r="E296" s="184"/>
      <c r="F296" s="183"/>
      <c r="G296" s="350"/>
      <c r="H296" s="183"/>
      <c r="I296" s="355"/>
      <c r="J296" s="360"/>
    </row>
    <row r="297" spans="1:10" hidden="1">
      <c r="A297" s="357">
        <v>375</v>
      </c>
      <c r="B297" s="182"/>
      <c r="C297" s="183"/>
      <c r="D297" s="183"/>
      <c r="E297" s="184"/>
      <c r="F297" s="183"/>
      <c r="G297" s="350"/>
      <c r="H297" s="183"/>
      <c r="I297" s="355"/>
      <c r="J297" s="360"/>
    </row>
    <row r="298" spans="1:10" hidden="1">
      <c r="A298" s="357">
        <v>376</v>
      </c>
      <c r="B298" s="182"/>
      <c r="C298" s="183"/>
      <c r="D298" s="183"/>
      <c r="E298" s="184"/>
      <c r="F298" s="183"/>
      <c r="G298" s="350"/>
      <c r="H298" s="183"/>
      <c r="I298" s="355"/>
      <c r="J298" s="360"/>
    </row>
    <row r="299" spans="1:10" hidden="1">
      <c r="A299" s="357">
        <v>377</v>
      </c>
      <c r="B299" s="182"/>
      <c r="C299" s="183"/>
      <c r="D299" s="183"/>
      <c r="E299" s="184"/>
      <c r="F299" s="183"/>
      <c r="G299" s="350"/>
      <c r="H299" s="183"/>
      <c r="I299" s="355"/>
      <c r="J299" s="360"/>
    </row>
    <row r="300" spans="1:10" hidden="1">
      <c r="A300" s="357">
        <v>378</v>
      </c>
      <c r="B300" s="182"/>
      <c r="C300" s="183"/>
      <c r="D300" s="183"/>
      <c r="E300" s="184"/>
      <c r="F300" s="183"/>
      <c r="G300" s="350"/>
      <c r="H300" s="183"/>
      <c r="I300" s="355"/>
      <c r="J300" s="360"/>
    </row>
    <row r="301" spans="1:10" hidden="1">
      <c r="A301" s="358">
        <v>379</v>
      </c>
      <c r="B301" s="182"/>
      <c r="C301" s="183"/>
      <c r="D301" s="183"/>
      <c r="E301" s="184"/>
      <c r="F301" s="183"/>
      <c r="G301" s="350"/>
      <c r="H301" s="183"/>
      <c r="I301" s="355"/>
      <c r="J301" s="360"/>
    </row>
    <row r="302" spans="1:10" hidden="1">
      <c r="A302" s="357">
        <v>380</v>
      </c>
      <c r="B302" s="182"/>
      <c r="C302" s="183"/>
      <c r="D302" s="183"/>
      <c r="E302" s="184"/>
      <c r="F302" s="183"/>
      <c r="G302" s="350"/>
      <c r="H302" s="183"/>
      <c r="I302" s="355"/>
      <c r="J302" s="360"/>
    </row>
    <row r="303" spans="1:10" hidden="1">
      <c r="A303" s="357">
        <v>381</v>
      </c>
      <c r="B303" s="182"/>
      <c r="C303" s="183"/>
      <c r="D303" s="183"/>
      <c r="E303" s="184"/>
      <c r="F303" s="183"/>
      <c r="G303" s="350"/>
      <c r="H303" s="183"/>
      <c r="I303" s="355"/>
      <c r="J303" s="360"/>
    </row>
    <row r="304" spans="1:10" hidden="1">
      <c r="A304" s="357">
        <v>382</v>
      </c>
      <c r="B304" s="182"/>
      <c r="C304" s="183"/>
      <c r="D304" s="183"/>
      <c r="E304" s="184"/>
      <c r="F304" s="183"/>
      <c r="G304" s="350"/>
      <c r="H304" s="183"/>
      <c r="I304" s="355"/>
      <c r="J304" s="360"/>
    </row>
    <row r="305" spans="1:10" hidden="1">
      <c r="A305" s="357">
        <v>383</v>
      </c>
      <c r="B305" s="182"/>
      <c r="C305" s="183"/>
      <c r="D305" s="183"/>
      <c r="E305" s="184"/>
      <c r="F305" s="183"/>
      <c r="G305" s="350"/>
      <c r="H305" s="183"/>
      <c r="I305" s="355"/>
      <c r="J305" s="360"/>
    </row>
    <row r="306" spans="1:10" hidden="1">
      <c r="A306" s="357">
        <v>384</v>
      </c>
      <c r="B306" s="182"/>
      <c r="C306" s="183"/>
      <c r="D306" s="183"/>
      <c r="E306" s="184"/>
      <c r="F306" s="183"/>
      <c r="G306" s="350"/>
      <c r="H306" s="183"/>
      <c r="I306" s="355"/>
      <c r="J306" s="360"/>
    </row>
    <row r="307" spans="1:10" hidden="1">
      <c r="A307" s="357">
        <v>385</v>
      </c>
      <c r="B307" s="182"/>
      <c r="C307" s="183"/>
      <c r="D307" s="183"/>
      <c r="E307" s="184"/>
      <c r="F307" s="183"/>
      <c r="G307" s="350"/>
      <c r="H307" s="183"/>
      <c r="I307" s="355"/>
      <c r="J307" s="360"/>
    </row>
    <row r="308" spans="1:10" hidden="1">
      <c r="A308" s="357">
        <v>386</v>
      </c>
      <c r="B308" s="182"/>
      <c r="C308" s="183"/>
      <c r="D308" s="183"/>
      <c r="E308" s="184"/>
      <c r="F308" s="183"/>
      <c r="G308" s="350"/>
      <c r="H308" s="183"/>
      <c r="I308" s="355"/>
      <c r="J308" s="360"/>
    </row>
    <row r="309" spans="1:10" hidden="1">
      <c r="A309" s="357">
        <v>387</v>
      </c>
      <c r="B309" s="182"/>
      <c r="C309" s="183"/>
      <c r="D309" s="183"/>
      <c r="E309" s="184"/>
      <c r="F309" s="183"/>
      <c r="G309" s="350"/>
      <c r="H309" s="183"/>
      <c r="I309" s="355"/>
      <c r="J309" s="360"/>
    </row>
    <row r="310" spans="1:10" hidden="1">
      <c r="A310" s="358">
        <v>388</v>
      </c>
      <c r="B310" s="182"/>
      <c r="C310" s="183"/>
      <c r="D310" s="183"/>
      <c r="E310" s="184"/>
      <c r="F310" s="183"/>
      <c r="G310" s="350"/>
      <c r="H310" s="183"/>
      <c r="I310" s="355"/>
      <c r="J310" s="360"/>
    </row>
    <row r="311" spans="1:10" hidden="1">
      <c r="A311" s="357">
        <v>389</v>
      </c>
      <c r="B311" s="182"/>
      <c r="C311" s="183"/>
      <c r="D311" s="183"/>
      <c r="E311" s="184"/>
      <c r="F311" s="183"/>
      <c r="G311" s="350"/>
      <c r="H311" s="183"/>
      <c r="I311" s="355"/>
      <c r="J311" s="360"/>
    </row>
    <row r="312" spans="1:10" hidden="1">
      <c r="A312" s="357">
        <v>390</v>
      </c>
      <c r="B312" s="182"/>
      <c r="C312" s="183"/>
      <c r="D312" s="183"/>
      <c r="E312" s="184"/>
      <c r="F312" s="183"/>
      <c r="G312" s="350"/>
      <c r="H312" s="183"/>
      <c r="I312" s="355"/>
      <c r="J312" s="360"/>
    </row>
    <row r="313" spans="1:10" hidden="1">
      <c r="A313" s="357">
        <v>391</v>
      </c>
      <c r="B313" s="182"/>
      <c r="C313" s="183"/>
      <c r="D313" s="183"/>
      <c r="E313" s="184"/>
      <c r="F313" s="183"/>
      <c r="G313" s="350"/>
      <c r="H313" s="183"/>
      <c r="I313" s="355"/>
      <c r="J313" s="360"/>
    </row>
    <row r="314" spans="1:10" hidden="1">
      <c r="A314" s="357">
        <v>392</v>
      </c>
      <c r="B314" s="182"/>
      <c r="C314" s="183"/>
      <c r="D314" s="183"/>
      <c r="E314" s="184"/>
      <c r="F314" s="183"/>
      <c r="G314" s="350"/>
      <c r="H314" s="183"/>
      <c r="I314" s="355"/>
      <c r="J314" s="360"/>
    </row>
    <row r="315" spans="1:10" hidden="1">
      <c r="A315" s="357">
        <v>393</v>
      </c>
      <c r="B315" s="182"/>
      <c r="C315" s="183"/>
      <c r="D315" s="183"/>
      <c r="E315" s="184"/>
      <c r="F315" s="183"/>
      <c r="G315" s="350"/>
      <c r="H315" s="183"/>
      <c r="I315" s="355"/>
      <c r="J315" s="360"/>
    </row>
    <row r="316" spans="1:10" hidden="1">
      <c r="A316" s="357">
        <v>394</v>
      </c>
      <c r="B316" s="182"/>
      <c r="C316" s="183"/>
      <c r="D316" s="183"/>
      <c r="E316" s="184"/>
      <c r="F316" s="183"/>
      <c r="G316" s="350"/>
      <c r="H316" s="183"/>
      <c r="I316" s="355"/>
      <c r="J316" s="360"/>
    </row>
    <row r="317" spans="1:10" hidden="1">
      <c r="A317" s="357">
        <v>395</v>
      </c>
      <c r="B317" s="182"/>
      <c r="C317" s="183"/>
      <c r="D317" s="183"/>
      <c r="E317" s="184"/>
      <c r="F317" s="183"/>
      <c r="G317" s="350"/>
      <c r="H317" s="183"/>
      <c r="I317" s="355"/>
      <c r="J317" s="360"/>
    </row>
    <row r="318" spans="1:10" hidden="1">
      <c r="A318" s="357">
        <v>396</v>
      </c>
      <c r="B318" s="182"/>
      <c r="C318" s="183"/>
      <c r="D318" s="183"/>
      <c r="E318" s="184"/>
      <c r="F318" s="183"/>
      <c r="G318" s="350"/>
      <c r="H318" s="183"/>
      <c r="I318" s="355"/>
      <c r="J318" s="360"/>
    </row>
    <row r="319" spans="1:10" hidden="1">
      <c r="A319" s="358">
        <v>397</v>
      </c>
      <c r="B319" s="182"/>
      <c r="C319" s="183"/>
      <c r="D319" s="183"/>
      <c r="E319" s="184"/>
      <c r="F319" s="183"/>
      <c r="G319" s="350"/>
      <c r="H319" s="183"/>
      <c r="I319" s="355"/>
      <c r="J319" s="360"/>
    </row>
    <row r="320" spans="1:10" hidden="1">
      <c r="A320" s="357">
        <v>398</v>
      </c>
      <c r="B320" s="182"/>
      <c r="C320" s="183"/>
      <c r="D320" s="183"/>
      <c r="E320" s="184"/>
      <c r="F320" s="183"/>
      <c r="G320" s="350"/>
      <c r="H320" s="183"/>
      <c r="I320" s="355"/>
      <c r="J320" s="360"/>
    </row>
    <row r="321" spans="1:10" hidden="1">
      <c r="A321" s="357">
        <v>399</v>
      </c>
      <c r="B321" s="182"/>
      <c r="C321" s="183"/>
      <c r="D321" s="183"/>
      <c r="E321" s="184"/>
      <c r="F321" s="183"/>
      <c r="G321" s="350"/>
      <c r="H321" s="183"/>
      <c r="I321" s="355"/>
      <c r="J321" s="360"/>
    </row>
    <row r="322" spans="1:10" hidden="1">
      <c r="A322" s="357">
        <v>400</v>
      </c>
      <c r="B322" s="182"/>
      <c r="C322" s="183"/>
      <c r="D322" s="183"/>
      <c r="E322" s="184"/>
      <c r="F322" s="183"/>
      <c r="G322" s="350"/>
      <c r="H322" s="183"/>
      <c r="I322" s="355"/>
      <c r="J322" s="360"/>
    </row>
    <row r="323" spans="1:10" hidden="1">
      <c r="A323" s="357">
        <v>401</v>
      </c>
      <c r="B323" s="182"/>
      <c r="C323" s="183"/>
      <c r="D323" s="183"/>
      <c r="E323" s="184"/>
      <c r="F323" s="183"/>
      <c r="G323" s="350"/>
      <c r="H323" s="183"/>
      <c r="I323" s="355"/>
      <c r="J323" s="360"/>
    </row>
    <row r="324" spans="1:10" hidden="1">
      <c r="A324" s="357">
        <v>402</v>
      </c>
      <c r="B324" s="182"/>
      <c r="C324" s="183"/>
      <c r="D324" s="183"/>
      <c r="E324" s="184"/>
      <c r="F324" s="183"/>
      <c r="G324" s="350"/>
      <c r="H324" s="183"/>
      <c r="I324" s="355"/>
      <c r="J324" s="360"/>
    </row>
    <row r="325" spans="1:10" hidden="1">
      <c r="A325" s="357">
        <v>403</v>
      </c>
      <c r="B325" s="182"/>
      <c r="C325" s="183"/>
      <c r="D325" s="183"/>
      <c r="E325" s="184"/>
      <c r="F325" s="183"/>
      <c r="G325" s="350"/>
      <c r="H325" s="183"/>
      <c r="I325" s="355"/>
      <c r="J325" s="360"/>
    </row>
    <row r="326" spans="1:10" hidden="1">
      <c r="A326" s="357">
        <v>404</v>
      </c>
      <c r="B326" s="182"/>
      <c r="C326" s="183"/>
      <c r="D326" s="183"/>
      <c r="E326" s="184"/>
      <c r="F326" s="183"/>
      <c r="G326" s="350"/>
      <c r="H326" s="183"/>
      <c r="I326" s="355"/>
      <c r="J326" s="360"/>
    </row>
    <row r="327" spans="1:10" hidden="1">
      <c r="A327" s="357">
        <v>405</v>
      </c>
      <c r="B327" s="182"/>
      <c r="C327" s="183"/>
      <c r="D327" s="183"/>
      <c r="E327" s="184"/>
      <c r="F327" s="183"/>
      <c r="G327" s="350"/>
      <c r="H327" s="183"/>
      <c r="I327" s="355"/>
      <c r="J327" s="360"/>
    </row>
    <row r="328" spans="1:10" hidden="1">
      <c r="A328" s="358">
        <v>406</v>
      </c>
      <c r="B328" s="182"/>
      <c r="C328" s="183"/>
      <c r="D328" s="183"/>
      <c r="E328" s="184"/>
      <c r="F328" s="183"/>
      <c r="G328" s="350"/>
      <c r="H328" s="183"/>
      <c r="I328" s="355"/>
      <c r="J328" s="360"/>
    </row>
    <row r="329" spans="1:10" hidden="1">
      <c r="A329" s="357">
        <v>407</v>
      </c>
      <c r="B329" s="182"/>
      <c r="C329" s="183"/>
      <c r="D329" s="183"/>
      <c r="E329" s="184"/>
      <c r="F329" s="183"/>
      <c r="G329" s="350"/>
      <c r="H329" s="183"/>
      <c r="I329" s="355"/>
      <c r="J329" s="360"/>
    </row>
    <row r="330" spans="1:10" hidden="1">
      <c r="A330" s="357">
        <v>408</v>
      </c>
      <c r="B330" s="182"/>
      <c r="C330" s="183"/>
      <c r="D330" s="183"/>
      <c r="E330" s="184"/>
      <c r="F330" s="183"/>
      <c r="G330" s="350"/>
      <c r="H330" s="183"/>
      <c r="I330" s="355"/>
      <c r="J330" s="360"/>
    </row>
    <row r="331" spans="1:10" hidden="1">
      <c r="A331" s="357">
        <v>409</v>
      </c>
      <c r="B331" s="182"/>
      <c r="C331" s="183"/>
      <c r="D331" s="183"/>
      <c r="E331" s="184"/>
      <c r="F331" s="183"/>
      <c r="G331" s="350"/>
      <c r="H331" s="183"/>
      <c r="I331" s="355"/>
      <c r="J331" s="360"/>
    </row>
    <row r="332" spans="1:10" hidden="1">
      <c r="A332" s="357">
        <v>410</v>
      </c>
      <c r="B332" s="182"/>
      <c r="C332" s="183"/>
      <c r="D332" s="183"/>
      <c r="E332" s="184"/>
      <c r="F332" s="183"/>
      <c r="G332" s="350"/>
      <c r="H332" s="183"/>
      <c r="I332" s="355"/>
      <c r="J332" s="360"/>
    </row>
    <row r="333" spans="1:10" hidden="1">
      <c r="A333" s="357">
        <v>411</v>
      </c>
      <c r="B333" s="182"/>
      <c r="C333" s="183"/>
      <c r="D333" s="183"/>
      <c r="E333" s="184"/>
      <c r="F333" s="183"/>
      <c r="G333" s="350"/>
      <c r="H333" s="183"/>
      <c r="I333" s="355"/>
      <c r="J333" s="360"/>
    </row>
    <row r="334" spans="1:10" hidden="1">
      <c r="A334" s="357">
        <v>412</v>
      </c>
      <c r="B334" s="182"/>
      <c r="C334" s="183"/>
      <c r="D334" s="183"/>
      <c r="E334" s="184"/>
      <c r="F334" s="183"/>
      <c r="G334" s="350"/>
      <c r="H334" s="183"/>
      <c r="I334" s="355"/>
      <c r="J334" s="360"/>
    </row>
    <row r="335" spans="1:10" hidden="1">
      <c r="A335" s="357">
        <v>413</v>
      </c>
      <c r="B335" s="182"/>
      <c r="C335" s="183"/>
      <c r="D335" s="183"/>
      <c r="E335" s="184"/>
      <c r="F335" s="183"/>
      <c r="G335" s="350"/>
      <c r="H335" s="183"/>
      <c r="I335" s="355"/>
      <c r="J335" s="360"/>
    </row>
    <row r="336" spans="1:10" hidden="1">
      <c r="A336" s="357">
        <v>414</v>
      </c>
      <c r="B336" s="182"/>
      <c r="C336" s="183"/>
      <c r="D336" s="183"/>
      <c r="E336" s="184"/>
      <c r="F336" s="183"/>
      <c r="G336" s="350"/>
      <c r="H336" s="183"/>
      <c r="I336" s="355"/>
      <c r="J336" s="360"/>
    </row>
    <row r="337" spans="1:10" hidden="1">
      <c r="A337" s="358">
        <v>415</v>
      </c>
      <c r="B337" s="182"/>
      <c r="C337" s="183"/>
      <c r="D337" s="183"/>
      <c r="E337" s="184"/>
      <c r="F337" s="183"/>
      <c r="G337" s="350"/>
      <c r="H337" s="183"/>
      <c r="I337" s="355"/>
      <c r="J337" s="360"/>
    </row>
    <row r="338" spans="1:10" hidden="1">
      <c r="A338" s="357">
        <v>416</v>
      </c>
      <c r="B338" s="182"/>
      <c r="C338" s="183"/>
      <c r="D338" s="183"/>
      <c r="E338" s="184"/>
      <c r="F338" s="183"/>
      <c r="G338" s="350"/>
      <c r="H338" s="183"/>
      <c r="I338" s="355"/>
      <c r="J338" s="360"/>
    </row>
    <row r="339" spans="1:10" hidden="1">
      <c r="A339" s="357">
        <v>417</v>
      </c>
      <c r="B339" s="182"/>
      <c r="C339" s="183"/>
      <c r="D339" s="183"/>
      <c r="E339" s="184"/>
      <c r="F339" s="183"/>
      <c r="G339" s="350"/>
      <c r="H339" s="183"/>
      <c r="I339" s="355"/>
      <c r="J339" s="360"/>
    </row>
    <row r="340" spans="1:10" hidden="1">
      <c r="A340" s="357">
        <v>418</v>
      </c>
      <c r="B340" s="182"/>
      <c r="C340" s="183"/>
      <c r="D340" s="183"/>
      <c r="E340" s="184"/>
      <c r="F340" s="183"/>
      <c r="G340" s="350"/>
      <c r="H340" s="183"/>
      <c r="I340" s="355"/>
      <c r="J340" s="360"/>
    </row>
    <row r="341" spans="1:10" hidden="1">
      <c r="A341" s="357">
        <v>419</v>
      </c>
      <c r="B341" s="182"/>
      <c r="C341" s="183"/>
      <c r="D341" s="183"/>
      <c r="E341" s="184"/>
      <c r="F341" s="183"/>
      <c r="G341" s="350"/>
      <c r="H341" s="183"/>
      <c r="I341" s="355"/>
      <c r="J341" s="360"/>
    </row>
    <row r="342" spans="1:10" hidden="1">
      <c r="A342" s="357">
        <v>420</v>
      </c>
      <c r="B342" s="182"/>
      <c r="C342" s="183"/>
      <c r="D342" s="183"/>
      <c r="E342" s="184"/>
      <c r="F342" s="183"/>
      <c r="G342" s="350"/>
      <c r="H342" s="183"/>
      <c r="I342" s="355"/>
      <c r="J342" s="360"/>
    </row>
    <row r="343" spans="1:10" hidden="1">
      <c r="A343" s="357">
        <v>421</v>
      </c>
      <c r="B343" s="182"/>
      <c r="C343" s="183"/>
      <c r="D343" s="183"/>
      <c r="E343" s="184"/>
      <c r="F343" s="183"/>
      <c r="G343" s="350"/>
      <c r="H343" s="183"/>
      <c r="I343" s="355"/>
      <c r="J343" s="360"/>
    </row>
    <row r="344" spans="1:10" hidden="1">
      <c r="A344" s="357">
        <v>422</v>
      </c>
      <c r="B344" s="182"/>
      <c r="C344" s="183"/>
      <c r="D344" s="183"/>
      <c r="E344" s="184"/>
      <c r="F344" s="183"/>
      <c r="G344" s="350"/>
      <c r="H344" s="183"/>
      <c r="I344" s="355"/>
      <c r="J344" s="360"/>
    </row>
    <row r="345" spans="1:10" hidden="1">
      <c r="A345" s="357">
        <v>423</v>
      </c>
      <c r="B345" s="182"/>
      <c r="C345" s="183"/>
      <c r="D345" s="183"/>
      <c r="E345" s="184"/>
      <c r="F345" s="183"/>
      <c r="G345" s="350"/>
      <c r="H345" s="183"/>
      <c r="I345" s="355"/>
      <c r="J345" s="360"/>
    </row>
    <row r="346" spans="1:10" hidden="1">
      <c r="A346" s="358">
        <v>424</v>
      </c>
      <c r="B346" s="182"/>
      <c r="C346" s="183"/>
      <c r="D346" s="183"/>
      <c r="E346" s="184"/>
      <c r="F346" s="183"/>
      <c r="G346" s="350"/>
      <c r="H346" s="183"/>
      <c r="I346" s="355"/>
      <c r="J346" s="360"/>
    </row>
    <row r="347" spans="1:10" hidden="1">
      <c r="A347" s="357">
        <v>425</v>
      </c>
      <c r="B347" s="182"/>
      <c r="C347" s="183"/>
      <c r="D347" s="183"/>
      <c r="E347" s="184"/>
      <c r="F347" s="183"/>
      <c r="G347" s="350"/>
      <c r="H347" s="183"/>
      <c r="I347" s="355"/>
      <c r="J347" s="360"/>
    </row>
    <row r="348" spans="1:10" hidden="1">
      <c r="A348" s="357">
        <v>426</v>
      </c>
      <c r="B348" s="182"/>
      <c r="C348" s="183"/>
      <c r="D348" s="183"/>
      <c r="E348" s="184"/>
      <c r="F348" s="183"/>
      <c r="G348" s="350"/>
      <c r="H348" s="183"/>
      <c r="I348" s="355"/>
      <c r="J348" s="360"/>
    </row>
    <row r="349" spans="1:10" hidden="1">
      <c r="A349" s="357">
        <v>427</v>
      </c>
      <c r="B349" s="182"/>
      <c r="C349" s="183"/>
      <c r="D349" s="183"/>
      <c r="E349" s="184"/>
      <c r="F349" s="183"/>
      <c r="G349" s="350"/>
      <c r="H349" s="183"/>
      <c r="I349" s="355"/>
      <c r="J349" s="360"/>
    </row>
    <row r="350" spans="1:10" hidden="1">
      <c r="A350" s="357">
        <v>428</v>
      </c>
      <c r="B350" s="182"/>
      <c r="C350" s="183"/>
      <c r="D350" s="183"/>
      <c r="E350" s="184"/>
      <c r="F350" s="183"/>
      <c r="G350" s="350"/>
      <c r="H350" s="183"/>
      <c r="I350" s="355"/>
      <c r="J350" s="360"/>
    </row>
    <row r="351" spans="1:10" hidden="1">
      <c r="A351" s="357">
        <v>429</v>
      </c>
      <c r="B351" s="182"/>
      <c r="C351" s="183"/>
      <c r="D351" s="183"/>
      <c r="E351" s="184"/>
      <c r="F351" s="183"/>
      <c r="G351" s="350"/>
      <c r="H351" s="183"/>
      <c r="I351" s="355"/>
      <c r="J351" s="360"/>
    </row>
    <row r="352" spans="1:10" hidden="1">
      <c r="A352" s="357">
        <v>430</v>
      </c>
      <c r="B352" s="182"/>
      <c r="C352" s="183"/>
      <c r="D352" s="183"/>
      <c r="E352" s="184"/>
      <c r="F352" s="183"/>
      <c r="G352" s="350"/>
      <c r="H352" s="183"/>
      <c r="I352" s="355"/>
      <c r="J352" s="360"/>
    </row>
    <row r="353" spans="1:10" hidden="1">
      <c r="A353" s="357">
        <v>431</v>
      </c>
      <c r="B353" s="182"/>
      <c r="C353" s="183"/>
      <c r="D353" s="183"/>
      <c r="E353" s="184"/>
      <c r="F353" s="183"/>
      <c r="G353" s="350"/>
      <c r="H353" s="183"/>
      <c r="I353" s="355"/>
      <c r="J353" s="360"/>
    </row>
    <row r="354" spans="1:10" hidden="1">
      <c r="A354" s="357">
        <v>432</v>
      </c>
      <c r="B354" s="182"/>
      <c r="C354" s="183"/>
      <c r="D354" s="183"/>
      <c r="E354" s="184"/>
      <c r="F354" s="183"/>
      <c r="G354" s="350"/>
      <c r="H354" s="183"/>
      <c r="I354" s="355"/>
      <c r="J354" s="360"/>
    </row>
    <row r="355" spans="1:10" hidden="1">
      <c r="A355" s="358">
        <v>433</v>
      </c>
      <c r="B355" s="182"/>
      <c r="C355" s="183"/>
      <c r="D355" s="183"/>
      <c r="E355" s="184"/>
      <c r="F355" s="183"/>
      <c r="G355" s="350"/>
      <c r="H355" s="183"/>
      <c r="I355" s="355"/>
      <c r="J355" s="360"/>
    </row>
    <row r="356" spans="1:10" hidden="1">
      <c r="A356" s="357">
        <v>434</v>
      </c>
      <c r="B356" s="182"/>
      <c r="C356" s="183"/>
      <c r="D356" s="183"/>
      <c r="E356" s="184"/>
      <c r="F356" s="183"/>
      <c r="G356" s="350"/>
      <c r="H356" s="183"/>
      <c r="I356" s="355"/>
      <c r="J356" s="360"/>
    </row>
    <row r="357" spans="1:10" hidden="1">
      <c r="A357" s="357">
        <v>435</v>
      </c>
      <c r="B357" s="182"/>
      <c r="C357" s="183"/>
      <c r="D357" s="183"/>
      <c r="E357" s="184"/>
      <c r="F357" s="183"/>
      <c r="G357" s="350"/>
      <c r="H357" s="183"/>
      <c r="I357" s="355"/>
      <c r="J357" s="360"/>
    </row>
    <row r="358" spans="1:10" hidden="1">
      <c r="A358" s="357">
        <v>436</v>
      </c>
      <c r="B358" s="182"/>
      <c r="C358" s="183"/>
      <c r="D358" s="183"/>
      <c r="E358" s="184"/>
      <c r="F358" s="183"/>
      <c r="G358" s="350"/>
      <c r="H358" s="183"/>
      <c r="I358" s="355"/>
      <c r="J358" s="360"/>
    </row>
    <row r="359" spans="1:10" hidden="1">
      <c r="A359" s="357">
        <v>437</v>
      </c>
      <c r="B359" s="182"/>
      <c r="C359" s="183"/>
      <c r="D359" s="183"/>
      <c r="E359" s="184"/>
      <c r="F359" s="183"/>
      <c r="G359" s="350"/>
      <c r="H359" s="183"/>
      <c r="I359" s="355"/>
      <c r="J359" s="360"/>
    </row>
    <row r="360" spans="1:10" hidden="1">
      <c r="A360" s="357">
        <v>438</v>
      </c>
      <c r="B360" s="182"/>
      <c r="C360" s="183"/>
      <c r="D360" s="183"/>
      <c r="E360" s="184"/>
      <c r="F360" s="183"/>
      <c r="G360" s="350"/>
      <c r="H360" s="183"/>
      <c r="I360" s="355"/>
      <c r="J360" s="360"/>
    </row>
    <row r="361" spans="1:10" hidden="1">
      <c r="A361" s="357">
        <v>439</v>
      </c>
      <c r="B361" s="182"/>
      <c r="C361" s="183"/>
      <c r="D361" s="183"/>
      <c r="E361" s="184"/>
      <c r="F361" s="183"/>
      <c r="G361" s="350"/>
      <c r="H361" s="183"/>
      <c r="I361" s="355"/>
      <c r="J361" s="360"/>
    </row>
    <row r="362" spans="1:10" hidden="1">
      <c r="A362" s="357">
        <v>440</v>
      </c>
      <c r="B362" s="182"/>
      <c r="C362" s="183"/>
      <c r="D362" s="183"/>
      <c r="E362" s="184"/>
      <c r="F362" s="183"/>
      <c r="G362" s="350"/>
      <c r="H362" s="183"/>
      <c r="I362" s="355"/>
      <c r="J362" s="360"/>
    </row>
    <row r="363" spans="1:10" hidden="1">
      <c r="A363" s="357">
        <v>441</v>
      </c>
      <c r="B363" s="182"/>
      <c r="C363" s="183"/>
      <c r="D363" s="183"/>
      <c r="E363" s="184"/>
      <c r="F363" s="183"/>
      <c r="G363" s="350"/>
      <c r="H363" s="183"/>
      <c r="I363" s="355"/>
      <c r="J363" s="360"/>
    </row>
    <row r="364" spans="1:10" hidden="1">
      <c r="A364" s="358">
        <v>442</v>
      </c>
      <c r="B364" s="182"/>
      <c r="C364" s="183"/>
      <c r="D364" s="183"/>
      <c r="E364" s="184"/>
      <c r="F364" s="183"/>
      <c r="G364" s="350"/>
      <c r="H364" s="183"/>
      <c r="I364" s="355"/>
      <c r="J364" s="360"/>
    </row>
    <row r="365" spans="1:10" hidden="1">
      <c r="A365" s="357">
        <v>443</v>
      </c>
      <c r="B365" s="182"/>
      <c r="C365" s="183"/>
      <c r="D365" s="183"/>
      <c r="E365" s="184"/>
      <c r="F365" s="183"/>
      <c r="G365" s="350"/>
      <c r="H365" s="183"/>
      <c r="I365" s="355"/>
      <c r="J365" s="360"/>
    </row>
    <row r="366" spans="1:10" hidden="1">
      <c r="A366" s="357">
        <v>444</v>
      </c>
      <c r="B366" s="182"/>
      <c r="C366" s="183"/>
      <c r="D366" s="183"/>
      <c r="E366" s="184"/>
      <c r="F366" s="183"/>
      <c r="G366" s="350"/>
      <c r="H366" s="183"/>
      <c r="I366" s="355"/>
      <c r="J366" s="360"/>
    </row>
    <row r="367" spans="1:10" hidden="1">
      <c r="A367" s="357">
        <v>445</v>
      </c>
      <c r="B367" s="182"/>
      <c r="C367" s="183"/>
      <c r="D367" s="183"/>
      <c r="E367" s="184"/>
      <c r="F367" s="183"/>
      <c r="G367" s="350"/>
      <c r="H367" s="183"/>
      <c r="I367" s="355"/>
      <c r="J367" s="360"/>
    </row>
    <row r="368" spans="1:10" hidden="1">
      <c r="A368" s="357">
        <v>446</v>
      </c>
      <c r="B368" s="182"/>
      <c r="C368" s="183"/>
      <c r="D368" s="183"/>
      <c r="E368" s="184"/>
      <c r="F368" s="183"/>
      <c r="G368" s="350"/>
      <c r="H368" s="183"/>
      <c r="I368" s="355"/>
      <c r="J368" s="360"/>
    </row>
    <row r="369" spans="1:10" hidden="1">
      <c r="A369" s="357">
        <v>447</v>
      </c>
      <c r="B369" s="182"/>
      <c r="C369" s="183"/>
      <c r="D369" s="183"/>
      <c r="E369" s="184"/>
      <c r="F369" s="183"/>
      <c r="G369" s="350"/>
      <c r="H369" s="183"/>
      <c r="I369" s="355"/>
      <c r="J369" s="360"/>
    </row>
    <row r="370" spans="1:10" hidden="1">
      <c r="A370" s="357">
        <v>448</v>
      </c>
      <c r="B370" s="182"/>
      <c r="C370" s="183"/>
      <c r="D370" s="183"/>
      <c r="E370" s="184"/>
      <c r="F370" s="183"/>
      <c r="G370" s="350"/>
      <c r="H370" s="183"/>
      <c r="I370" s="355"/>
      <c r="J370" s="360"/>
    </row>
    <row r="371" spans="1:10" hidden="1">
      <c r="A371" s="357">
        <v>449</v>
      </c>
      <c r="B371" s="182"/>
      <c r="C371" s="183"/>
      <c r="D371" s="183"/>
      <c r="E371" s="184"/>
      <c r="F371" s="183"/>
      <c r="G371" s="350"/>
      <c r="H371" s="183"/>
      <c r="I371" s="355"/>
      <c r="J371" s="360"/>
    </row>
    <row r="372" spans="1:10" hidden="1">
      <c r="A372" s="357">
        <v>450</v>
      </c>
      <c r="B372" s="182"/>
      <c r="C372" s="183"/>
      <c r="D372" s="183"/>
      <c r="E372" s="184"/>
      <c r="F372" s="183"/>
      <c r="G372" s="350"/>
      <c r="H372" s="183"/>
      <c r="I372" s="355"/>
      <c r="J372" s="360"/>
    </row>
    <row r="373" spans="1:10" hidden="1">
      <c r="A373" s="358">
        <v>451</v>
      </c>
      <c r="B373" s="182"/>
      <c r="C373" s="183"/>
      <c r="D373" s="183"/>
      <c r="E373" s="184"/>
      <c r="F373" s="183"/>
      <c r="G373" s="350"/>
      <c r="H373" s="183"/>
      <c r="I373" s="355"/>
      <c r="J373" s="360"/>
    </row>
    <row r="374" spans="1:10" hidden="1">
      <c r="A374" s="357">
        <v>452</v>
      </c>
      <c r="B374" s="182"/>
      <c r="C374" s="183"/>
      <c r="D374" s="183"/>
      <c r="E374" s="184"/>
      <c r="F374" s="183"/>
      <c r="G374" s="350"/>
      <c r="H374" s="183"/>
      <c r="I374" s="355"/>
      <c r="J374" s="360"/>
    </row>
    <row r="375" spans="1:10" hidden="1">
      <c r="A375" s="357">
        <v>453</v>
      </c>
      <c r="B375" s="182"/>
      <c r="C375" s="183"/>
      <c r="D375" s="183"/>
      <c r="E375" s="184"/>
      <c r="F375" s="183"/>
      <c r="G375" s="350"/>
      <c r="H375" s="183"/>
      <c r="I375" s="355"/>
      <c r="J375" s="360"/>
    </row>
    <row r="376" spans="1:10" hidden="1">
      <c r="A376" s="357">
        <v>454</v>
      </c>
      <c r="B376" s="182"/>
      <c r="C376" s="183"/>
      <c r="D376" s="183"/>
      <c r="E376" s="184"/>
      <c r="F376" s="183"/>
      <c r="G376" s="350"/>
      <c r="H376" s="183"/>
      <c r="I376" s="355"/>
      <c r="J376" s="360"/>
    </row>
    <row r="377" spans="1:10" hidden="1">
      <c r="A377" s="357">
        <v>455</v>
      </c>
      <c r="B377" s="182"/>
      <c r="C377" s="183"/>
      <c r="D377" s="183"/>
      <c r="E377" s="184"/>
      <c r="F377" s="183"/>
      <c r="G377" s="350"/>
      <c r="H377" s="183"/>
      <c r="I377" s="355"/>
      <c r="J377" s="360"/>
    </row>
    <row r="378" spans="1:10" hidden="1">
      <c r="A378" s="357">
        <v>456</v>
      </c>
      <c r="B378" s="182"/>
      <c r="C378" s="183"/>
      <c r="D378" s="183"/>
      <c r="E378" s="184"/>
      <c r="F378" s="183"/>
      <c r="G378" s="350"/>
      <c r="H378" s="183"/>
      <c r="I378" s="355"/>
      <c r="J378" s="360"/>
    </row>
    <row r="379" spans="1:10" hidden="1">
      <c r="A379" s="357">
        <v>457</v>
      </c>
      <c r="B379" s="182"/>
      <c r="C379" s="183"/>
      <c r="D379" s="183"/>
      <c r="E379" s="184"/>
      <c r="F379" s="183"/>
      <c r="G379" s="350"/>
      <c r="H379" s="183"/>
      <c r="I379" s="355"/>
      <c r="J379" s="360"/>
    </row>
    <row r="380" spans="1:10" hidden="1">
      <c r="A380" s="357">
        <v>458</v>
      </c>
      <c r="B380" s="182"/>
      <c r="C380" s="183"/>
      <c r="D380" s="183"/>
      <c r="E380" s="184"/>
      <c r="F380" s="183"/>
      <c r="G380" s="350"/>
      <c r="H380" s="183"/>
      <c r="I380" s="355"/>
      <c r="J380" s="360"/>
    </row>
    <row r="381" spans="1:10" hidden="1">
      <c r="A381" s="357">
        <v>459</v>
      </c>
      <c r="B381" s="182"/>
      <c r="C381" s="183"/>
      <c r="D381" s="183"/>
      <c r="E381" s="184"/>
      <c r="F381" s="183"/>
      <c r="G381" s="350"/>
      <c r="H381" s="183"/>
      <c r="I381" s="355"/>
      <c r="J381" s="360"/>
    </row>
    <row r="382" spans="1:10" hidden="1">
      <c r="A382" s="358">
        <v>460</v>
      </c>
      <c r="B382" s="182"/>
      <c r="C382" s="183"/>
      <c r="D382" s="183"/>
      <c r="E382" s="184"/>
      <c r="F382" s="183"/>
      <c r="G382" s="350"/>
      <c r="H382" s="183"/>
      <c r="I382" s="355"/>
      <c r="J382" s="360"/>
    </row>
    <row r="383" spans="1:10" hidden="1">
      <c r="A383" s="357">
        <v>461</v>
      </c>
      <c r="B383" s="182"/>
      <c r="C383" s="183"/>
      <c r="D383" s="183"/>
      <c r="E383" s="184"/>
      <c r="F383" s="183"/>
      <c r="G383" s="350"/>
      <c r="H383" s="183"/>
      <c r="I383" s="355"/>
      <c r="J383" s="360"/>
    </row>
    <row r="384" spans="1:10" hidden="1">
      <c r="A384" s="357">
        <v>462</v>
      </c>
      <c r="B384" s="182"/>
      <c r="C384" s="183"/>
      <c r="D384" s="183"/>
      <c r="E384" s="184"/>
      <c r="F384" s="183"/>
      <c r="G384" s="350"/>
      <c r="H384" s="183"/>
      <c r="I384" s="355"/>
      <c r="J384" s="360"/>
    </row>
    <row r="385" spans="1:10" hidden="1">
      <c r="A385" s="357">
        <v>463</v>
      </c>
      <c r="B385" s="182"/>
      <c r="C385" s="183"/>
      <c r="D385" s="183"/>
      <c r="E385" s="184"/>
      <c r="F385" s="183"/>
      <c r="G385" s="350"/>
      <c r="H385" s="183"/>
      <c r="I385" s="355"/>
      <c r="J385" s="360"/>
    </row>
    <row r="386" spans="1:10" hidden="1">
      <c r="A386" s="357">
        <v>464</v>
      </c>
      <c r="B386" s="182"/>
      <c r="C386" s="183"/>
      <c r="D386" s="183"/>
      <c r="E386" s="184"/>
      <c r="F386" s="183"/>
      <c r="G386" s="350"/>
      <c r="H386" s="183"/>
      <c r="I386" s="355"/>
      <c r="J386" s="360"/>
    </row>
    <row r="387" spans="1:10" hidden="1">
      <c r="A387" s="357">
        <v>465</v>
      </c>
      <c r="B387" s="182"/>
      <c r="C387" s="183"/>
      <c r="D387" s="183"/>
      <c r="E387" s="184"/>
      <c r="F387" s="183"/>
      <c r="G387" s="350"/>
      <c r="H387" s="183"/>
      <c r="I387" s="355"/>
      <c r="J387" s="360"/>
    </row>
    <row r="388" spans="1:10" hidden="1">
      <c r="A388" s="357">
        <v>466</v>
      </c>
      <c r="B388" s="182"/>
      <c r="C388" s="183"/>
      <c r="D388" s="183"/>
      <c r="E388" s="184"/>
      <c r="F388" s="183"/>
      <c r="G388" s="350"/>
      <c r="H388" s="183"/>
      <c r="I388" s="355"/>
      <c r="J388" s="360"/>
    </row>
    <row r="389" spans="1:10" hidden="1">
      <c r="A389" s="357">
        <v>467</v>
      </c>
      <c r="B389" s="182"/>
      <c r="C389" s="183"/>
      <c r="D389" s="183"/>
      <c r="E389" s="184"/>
      <c r="F389" s="183"/>
      <c r="G389" s="350"/>
      <c r="H389" s="183"/>
      <c r="I389" s="355"/>
      <c r="J389" s="360"/>
    </row>
    <row r="390" spans="1:10" hidden="1">
      <c r="A390" s="357">
        <v>468</v>
      </c>
      <c r="B390" s="182"/>
      <c r="C390" s="183"/>
      <c r="D390" s="183"/>
      <c r="E390" s="184"/>
      <c r="F390" s="183"/>
      <c r="G390" s="350"/>
      <c r="H390" s="183"/>
      <c r="I390" s="355"/>
      <c r="J390" s="360"/>
    </row>
    <row r="391" spans="1:10" hidden="1">
      <c r="A391" s="358">
        <v>469</v>
      </c>
      <c r="B391" s="182"/>
      <c r="C391" s="183"/>
      <c r="D391" s="183"/>
      <c r="E391" s="184"/>
      <c r="F391" s="183"/>
      <c r="G391" s="350"/>
      <c r="H391" s="183"/>
      <c r="I391" s="355"/>
      <c r="J391" s="360"/>
    </row>
    <row r="392" spans="1:10" hidden="1">
      <c r="A392" s="357">
        <v>470</v>
      </c>
      <c r="B392" s="182"/>
      <c r="C392" s="183"/>
      <c r="D392" s="183"/>
      <c r="E392" s="184"/>
      <c r="F392" s="183"/>
      <c r="G392" s="350"/>
      <c r="H392" s="183"/>
      <c r="I392" s="355"/>
      <c r="J392" s="360"/>
    </row>
    <row r="393" spans="1:10" hidden="1">
      <c r="A393" s="357">
        <v>471</v>
      </c>
      <c r="B393" s="182"/>
      <c r="C393" s="183"/>
      <c r="D393" s="183"/>
      <c r="E393" s="184"/>
      <c r="F393" s="183"/>
      <c r="G393" s="350"/>
      <c r="H393" s="183"/>
      <c r="I393" s="355"/>
      <c r="J393" s="360"/>
    </row>
    <row r="394" spans="1:10" hidden="1">
      <c r="A394" s="357">
        <v>472</v>
      </c>
      <c r="B394" s="182"/>
      <c r="C394" s="183"/>
      <c r="D394" s="183"/>
      <c r="E394" s="184"/>
      <c r="F394" s="183"/>
      <c r="G394" s="350"/>
      <c r="H394" s="183"/>
      <c r="I394" s="355"/>
      <c r="J394" s="360"/>
    </row>
    <row r="395" spans="1:10" hidden="1">
      <c r="A395" s="357">
        <v>473</v>
      </c>
      <c r="B395" s="182"/>
      <c r="C395" s="183"/>
      <c r="D395" s="183"/>
      <c r="E395" s="184"/>
      <c r="F395" s="183"/>
      <c r="G395" s="350"/>
      <c r="H395" s="183"/>
      <c r="I395" s="355"/>
      <c r="J395" s="360"/>
    </row>
    <row r="396" spans="1:10" hidden="1">
      <c r="A396" s="357">
        <v>474</v>
      </c>
      <c r="B396" s="182"/>
      <c r="C396" s="183"/>
      <c r="D396" s="183"/>
      <c r="E396" s="184"/>
      <c r="F396" s="183"/>
      <c r="G396" s="350"/>
      <c r="H396" s="183"/>
      <c r="I396" s="355"/>
      <c r="J396" s="360"/>
    </row>
    <row r="397" spans="1:10" hidden="1">
      <c r="A397" s="357">
        <v>475</v>
      </c>
      <c r="B397" s="182"/>
      <c r="C397" s="183"/>
      <c r="D397" s="183"/>
      <c r="E397" s="184"/>
      <c r="F397" s="183"/>
      <c r="G397" s="350"/>
      <c r="H397" s="183"/>
      <c r="I397" s="355"/>
      <c r="J397" s="360"/>
    </row>
    <row r="398" spans="1:10" hidden="1">
      <c r="A398" s="357">
        <v>476</v>
      </c>
      <c r="B398" s="182"/>
      <c r="C398" s="183"/>
      <c r="D398" s="183"/>
      <c r="E398" s="184"/>
      <c r="F398" s="183"/>
      <c r="G398" s="350"/>
      <c r="H398" s="183"/>
      <c r="I398" s="355"/>
      <c r="J398" s="360"/>
    </row>
    <row r="399" spans="1:10" hidden="1">
      <c r="A399" s="357">
        <v>477</v>
      </c>
      <c r="B399" s="182"/>
      <c r="C399" s="183"/>
      <c r="D399" s="183"/>
      <c r="E399" s="184"/>
      <c r="F399" s="183"/>
      <c r="G399" s="350"/>
      <c r="H399" s="183"/>
      <c r="I399" s="355"/>
      <c r="J399" s="360"/>
    </row>
    <row r="400" spans="1:10" hidden="1">
      <c r="A400" s="358">
        <v>478</v>
      </c>
      <c r="B400" s="182"/>
      <c r="C400" s="183"/>
      <c r="D400" s="183"/>
      <c r="E400" s="184"/>
      <c r="F400" s="183"/>
      <c r="G400" s="350"/>
      <c r="H400" s="183"/>
      <c r="I400" s="355"/>
      <c r="J400" s="360"/>
    </row>
    <row r="401" spans="1:10" hidden="1">
      <c r="A401" s="357">
        <v>479</v>
      </c>
      <c r="B401" s="182"/>
      <c r="C401" s="183"/>
      <c r="D401" s="183"/>
      <c r="E401" s="184"/>
      <c r="F401" s="183"/>
      <c r="G401" s="350"/>
      <c r="H401" s="183"/>
      <c r="I401" s="355"/>
      <c r="J401" s="360"/>
    </row>
    <row r="402" spans="1:10" hidden="1">
      <c r="A402" s="357">
        <v>480</v>
      </c>
      <c r="B402" s="182"/>
      <c r="C402" s="183"/>
      <c r="D402" s="183"/>
      <c r="E402" s="184"/>
      <c r="F402" s="183"/>
      <c r="G402" s="350"/>
      <c r="H402" s="183"/>
      <c r="I402" s="355"/>
      <c r="J402" s="360"/>
    </row>
    <row r="403" spans="1:10" hidden="1">
      <c r="A403" s="357">
        <v>481</v>
      </c>
      <c r="B403" s="182"/>
      <c r="C403" s="183"/>
      <c r="D403" s="183"/>
      <c r="E403" s="184"/>
      <c r="F403" s="183"/>
      <c r="G403" s="350"/>
      <c r="H403" s="183"/>
      <c r="I403" s="355"/>
      <c r="J403" s="360"/>
    </row>
    <row r="404" spans="1:10" hidden="1">
      <c r="A404" s="357">
        <v>482</v>
      </c>
      <c r="B404" s="182"/>
      <c r="C404" s="183"/>
      <c r="D404" s="183"/>
      <c r="E404" s="184"/>
      <c r="F404" s="183"/>
      <c r="G404" s="350"/>
      <c r="H404" s="183"/>
      <c r="I404" s="355"/>
      <c r="J404" s="360"/>
    </row>
    <row r="405" spans="1:10" hidden="1">
      <c r="A405" s="357">
        <v>483</v>
      </c>
      <c r="B405" s="182"/>
      <c r="C405" s="183"/>
      <c r="D405" s="183"/>
      <c r="E405" s="184"/>
      <c r="F405" s="183"/>
      <c r="G405" s="350"/>
      <c r="H405" s="183"/>
      <c r="I405" s="355"/>
      <c r="J405" s="360"/>
    </row>
    <row r="406" spans="1:10" hidden="1">
      <c r="A406" s="357">
        <v>484</v>
      </c>
      <c r="B406" s="182"/>
      <c r="C406" s="183"/>
      <c r="D406" s="183"/>
      <c r="E406" s="184"/>
      <c r="F406" s="183"/>
      <c r="G406" s="350"/>
      <c r="H406" s="183"/>
      <c r="I406" s="355"/>
      <c r="J406" s="360"/>
    </row>
    <row r="407" spans="1:10" hidden="1">
      <c r="A407" s="357">
        <v>485</v>
      </c>
      <c r="B407" s="182"/>
      <c r="C407" s="183"/>
      <c r="D407" s="183"/>
      <c r="E407" s="184"/>
      <c r="F407" s="183"/>
      <c r="G407" s="350"/>
      <c r="H407" s="183"/>
      <c r="I407" s="355"/>
      <c r="J407" s="360"/>
    </row>
    <row r="408" spans="1:10" hidden="1">
      <c r="A408" s="357">
        <v>486</v>
      </c>
      <c r="B408" s="182"/>
      <c r="C408" s="183"/>
      <c r="D408" s="183"/>
      <c r="E408" s="184"/>
      <c r="F408" s="183"/>
      <c r="G408" s="350"/>
      <c r="H408" s="183"/>
      <c r="I408" s="355"/>
      <c r="J408" s="360"/>
    </row>
    <row r="409" spans="1:10" hidden="1">
      <c r="A409" s="358">
        <v>487</v>
      </c>
      <c r="B409" s="182"/>
      <c r="C409" s="183"/>
      <c r="D409" s="183"/>
      <c r="E409" s="184"/>
      <c r="F409" s="183"/>
      <c r="G409" s="350"/>
      <c r="H409" s="183"/>
      <c r="I409" s="355"/>
      <c r="J409" s="360"/>
    </row>
    <row r="410" spans="1:10" hidden="1">
      <c r="A410" s="357">
        <v>488</v>
      </c>
      <c r="B410" s="182"/>
      <c r="C410" s="183"/>
      <c r="D410" s="183"/>
      <c r="E410" s="184"/>
      <c r="F410" s="183"/>
      <c r="G410" s="350"/>
      <c r="H410" s="183"/>
      <c r="I410" s="355"/>
      <c r="J410" s="360"/>
    </row>
    <row r="411" spans="1:10" hidden="1">
      <c r="A411" s="357">
        <v>489</v>
      </c>
      <c r="B411" s="182"/>
      <c r="C411" s="183"/>
      <c r="D411" s="183"/>
      <c r="E411" s="184"/>
      <c r="F411" s="183"/>
      <c r="G411" s="350"/>
      <c r="H411" s="183"/>
      <c r="I411" s="355"/>
      <c r="J411" s="360"/>
    </row>
    <row r="412" spans="1:10" hidden="1">
      <c r="A412" s="357">
        <v>490</v>
      </c>
      <c r="B412" s="182"/>
      <c r="C412" s="183"/>
      <c r="D412" s="183"/>
      <c r="E412" s="184"/>
      <c r="F412" s="183"/>
      <c r="G412" s="350"/>
      <c r="H412" s="183"/>
      <c r="I412" s="355"/>
      <c r="J412" s="360"/>
    </row>
    <row r="413" spans="1:10" hidden="1">
      <c r="A413" s="357">
        <v>491</v>
      </c>
      <c r="B413" s="182"/>
      <c r="C413" s="183"/>
      <c r="D413" s="183"/>
      <c r="E413" s="184"/>
      <c r="F413" s="183"/>
      <c r="G413" s="350"/>
      <c r="H413" s="183"/>
      <c r="I413" s="355"/>
      <c r="J413" s="360"/>
    </row>
    <row r="414" spans="1:10" hidden="1">
      <c r="A414" s="357">
        <v>492</v>
      </c>
      <c r="B414" s="182"/>
      <c r="C414" s="183"/>
      <c r="D414" s="183"/>
      <c r="E414" s="184"/>
      <c r="F414" s="183"/>
      <c r="G414" s="350"/>
      <c r="H414" s="183"/>
      <c r="I414" s="355"/>
      <c r="J414" s="360"/>
    </row>
    <row r="415" spans="1:10" hidden="1">
      <c r="A415" s="357">
        <v>493</v>
      </c>
      <c r="B415" s="182"/>
      <c r="C415" s="183"/>
      <c r="D415" s="183"/>
      <c r="E415" s="184"/>
      <c r="F415" s="183"/>
      <c r="G415" s="350"/>
      <c r="H415" s="183"/>
      <c r="I415" s="355"/>
      <c r="J415" s="360"/>
    </row>
    <row r="416" spans="1:10" hidden="1">
      <c r="A416" s="357">
        <v>494</v>
      </c>
      <c r="B416" s="182"/>
      <c r="C416" s="183"/>
      <c r="D416" s="183"/>
      <c r="E416" s="184"/>
      <c r="F416" s="183"/>
      <c r="G416" s="350"/>
      <c r="H416" s="183"/>
      <c r="I416" s="355"/>
      <c r="J416" s="360"/>
    </row>
    <row r="417" spans="1:10" hidden="1">
      <c r="A417" s="357">
        <v>495</v>
      </c>
      <c r="B417" s="182"/>
      <c r="C417" s="183"/>
      <c r="D417" s="183"/>
      <c r="E417" s="184"/>
      <c r="F417" s="183"/>
      <c r="G417" s="350"/>
      <c r="H417" s="183"/>
      <c r="I417" s="355"/>
      <c r="J417" s="360"/>
    </row>
    <row r="418" spans="1:10" hidden="1">
      <c r="A418" s="357">
        <v>496</v>
      </c>
      <c r="B418" s="182"/>
      <c r="C418" s="183"/>
      <c r="D418" s="183"/>
      <c r="E418" s="184"/>
      <c r="F418" s="183"/>
      <c r="G418" s="350"/>
      <c r="H418" s="183"/>
      <c r="I418" s="355"/>
      <c r="J418" s="360"/>
    </row>
    <row r="419" spans="1:10" hidden="1">
      <c r="A419" s="357">
        <v>497</v>
      </c>
      <c r="B419" s="182"/>
      <c r="C419" s="183"/>
      <c r="D419" s="183"/>
      <c r="E419" s="184"/>
      <c r="F419" s="183"/>
      <c r="G419" s="350"/>
      <c r="H419" s="183"/>
      <c r="I419" s="355"/>
      <c r="J419" s="360"/>
    </row>
    <row r="420" spans="1:10" hidden="1">
      <c r="A420" s="357">
        <v>498</v>
      </c>
      <c r="B420" s="182"/>
      <c r="C420" s="183"/>
      <c r="D420" s="183"/>
      <c r="E420" s="184"/>
      <c r="F420" s="183"/>
      <c r="G420" s="350"/>
      <c r="H420" s="183"/>
      <c r="I420" s="355"/>
      <c r="J420" s="360"/>
    </row>
    <row r="421" spans="1:10" hidden="1">
      <c r="A421" s="357">
        <v>499</v>
      </c>
      <c r="B421" s="182"/>
      <c r="C421" s="183"/>
      <c r="D421" s="183"/>
      <c r="E421" s="184"/>
      <c r="F421" s="183"/>
      <c r="G421" s="350"/>
      <c r="H421" s="183"/>
      <c r="I421" s="355"/>
      <c r="J421" s="360"/>
    </row>
    <row r="422" spans="1:10" hidden="1">
      <c r="A422" s="357">
        <v>500</v>
      </c>
      <c r="B422" s="182"/>
      <c r="C422" s="183"/>
      <c r="D422" s="183"/>
      <c r="E422" s="184"/>
      <c r="F422" s="183"/>
      <c r="G422" s="350"/>
      <c r="H422" s="183"/>
      <c r="I422" s="355"/>
      <c r="J422" s="360"/>
    </row>
    <row r="423" spans="1:10">
      <c r="F423" s="125"/>
      <c r="G423" s="125"/>
      <c r="H423" s="125"/>
      <c r="I423" s="125"/>
      <c r="J423" s="125"/>
    </row>
    <row r="424" spans="1:10">
      <c r="F424" s="125"/>
      <c r="G424" s="125"/>
      <c r="H424" s="125"/>
      <c r="I424" s="125"/>
      <c r="J424" s="125"/>
    </row>
  </sheetData>
  <sheetProtection formatRows="0" insertRows="0"/>
  <mergeCells count="3">
    <mergeCell ref="A1:J1"/>
    <mergeCell ref="A2:J2"/>
    <mergeCell ref="A3:J3"/>
  </mergeCells>
  <phoneticPr fontId="37" type="noConversion"/>
  <conditionalFormatting sqref="D5:J30 B5:B35 D31:I35 J31:J45">
    <cfRule type="expression" dxfId="4" priority="4" stopIfTrue="1">
      <formula>ISEVEN(ROW())</formula>
    </cfRule>
  </conditionalFormatting>
  <dataValidations count="7">
    <dataValidation type="date" allowBlank="1" showInputMessage="1" showErrorMessage="1" sqref="B5" xr:uid="{2BA9E2AC-71EC-4773-94E6-D2F22DE37903}">
      <formula1>40544</formula1>
      <formula2>44196</formula2>
    </dataValidation>
    <dataValidation type="list" allowBlank="1" showInputMessage="1" showErrorMessage="1" sqref="D5:D35 C36:C52 D67:D68 C55:C68" xr:uid="{42326EC9-8500-4264-B148-B764F7DA251F}">
      <formula1>Categorias</formula1>
    </dataValidation>
    <dataValidation type="list" allowBlank="1" showInputMessage="1" showErrorMessage="1" sqref="D69:D422 D36:D54" xr:uid="{00000000-0002-0000-0800-000001000000}">
      <formula1>OFFSET(Repasses,1,MATCH(C36,Categorias,0)-1,OFFSET(Repasses,-1,MATCH(C36,Categorias,0)-1),1)</formula1>
    </dataValidation>
    <dataValidation type="list" allowBlank="1" showInputMessage="1" showErrorMessage="1" sqref="G36:G422 F57:F61 F64:F66" xr:uid="{00000000-0002-0000-0800-000000000000}">
      <formula1>VinculoPT</formula1>
    </dataValidation>
    <dataValidation type="list" allowBlank="1" showInputMessage="1" showErrorMessage="1" sqref="J5:J422" xr:uid="{00000000-0002-0000-0800-000002000000}">
      <formula1>Contas</formula1>
    </dataValidation>
    <dataValidation type="list" allowBlank="1" showInputMessage="1" showErrorMessage="1" sqref="D55:D56 D62:D65" xr:uid="{78ACBD1A-02A9-43A1-9861-FB9DA3146712}">
      <formula1>INDIRECT(#REF!)</formula1>
    </dataValidation>
    <dataValidation type="list" allowBlank="1" showInputMessage="1" showErrorMessage="1" sqref="D55:D61 D63:D66" xr:uid="{EC4E9B76-33BE-4219-B60A-C9EAABD1A519}">
      <formula1>INDIRECT($I55)</formula1>
    </dataValidation>
  </dataValidations>
  <printOptions horizontalCentered="1"/>
  <pageMargins left="0.19685039370078741" right="0.19685039370078741" top="0.59055118110236227" bottom="0.59055118110236227" header="0" footer="0"/>
  <pageSetup paperSize="9" scale="72" fitToHeight="0" pageOrder="overThenDown" orientation="landscape" r:id="rId1"/>
  <headerFooter>
    <oddFooter>Página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3000000}">
          <x14:formula1>
            <xm:f>Plano!$D$2:$G$2</xm:f>
          </x14:formula1>
          <xm:sqref>C71:C422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8D58FADB61F04EBBB4F355C06EFBED" ma:contentTypeVersion="17" ma:contentTypeDescription="Crie um novo documento." ma:contentTypeScope="" ma:versionID="f6771e9c08c2d9df39dd7d197c8b6a85">
  <xsd:schema xmlns:xsd="http://www.w3.org/2001/XMLSchema" xmlns:xs="http://www.w3.org/2001/XMLSchema" xmlns:p="http://schemas.microsoft.com/office/2006/metadata/properties" xmlns:ns2="6f4338ef-addb-4c87-aefe-1895241b335f" xmlns:ns3="b91e7f20-fe0a-487d-91a9-605ac1c64acf" targetNamespace="http://schemas.microsoft.com/office/2006/metadata/properties" ma:root="true" ma:fieldsID="503dfcee509e313616a7b990a35f0e81" ns2:_="" ns3:_="">
    <xsd:import namespace="6f4338ef-addb-4c87-aefe-1895241b335f"/>
    <xsd:import namespace="b91e7f20-fe0a-487d-91a9-605ac1c64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338ef-addb-4c87-aefe-1895241b3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917d32f3-4fa4-4f5b-a8d0-62dbd3d265b9"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Status de liberação" ma:internalName="Status_x0020_de_x0020_libera_x00e7__x00e3_o">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1e7f20-fe0a-487d-91a9-605ac1c64acf"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847d1fa6-6ec2-4502-b095-ab8b8f1a57fc}" ma:internalName="TaxCatchAll" ma:showField="CatchAllData" ma:web="b91e7f20-fe0a-487d-91a9-605ac1c64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1e7f20-fe0a-487d-91a9-605ac1c64acf" xsi:nil="true"/>
    <lcf76f155ced4ddcb4097134ff3c332f xmlns="6f4338ef-addb-4c87-aefe-1895241b335f">
      <Terms xmlns="http://schemas.microsoft.com/office/infopath/2007/PartnerControls"/>
    </lcf76f155ced4ddcb4097134ff3c332f>
    <_Flow_SignoffStatus xmlns="6f4338ef-addb-4c87-aefe-1895241b335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CD7014-DC79-499D-BE35-6E9155C1D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338ef-addb-4c87-aefe-1895241b335f"/>
    <ds:schemaRef ds:uri="b91e7f20-fe0a-487d-91a9-605ac1c64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94C0EA-4EA5-4393-9A21-D6162346BFDA}">
  <ds:schemaRefs>
    <ds:schemaRef ds:uri="b91e7f20-fe0a-487d-91a9-605ac1c64acf"/>
    <ds:schemaRef ds:uri="6f4338ef-addb-4c87-aefe-1895241b335f"/>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BB2DA8C5-143C-43FA-961C-9D7360589F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29</vt:i4>
      </vt:variant>
    </vt:vector>
  </HeadingPairs>
  <TitlesOfParts>
    <vt:vector size="44" baseType="lpstr">
      <vt:lpstr>Capa</vt:lpstr>
      <vt:lpstr>Resumo</vt:lpstr>
      <vt:lpstr>Comparativo</vt:lpstr>
      <vt:lpstr>Gasto das Atividades</vt:lpstr>
      <vt:lpstr>Analítico Cx.</vt:lpstr>
      <vt:lpstr>Analítico Cp.</vt:lpstr>
      <vt:lpstr>Prov. Pessoal</vt:lpstr>
      <vt:lpstr>Bens</vt:lpstr>
      <vt:lpstr>Comp.</vt:lpstr>
      <vt:lpstr>Diário</vt:lpstr>
      <vt:lpstr>Reserva</vt:lpstr>
      <vt:lpstr>Lista de Pessoal</vt:lpstr>
      <vt:lpstr>Dec Dir.</vt:lpstr>
      <vt:lpstr>Planilha1</vt:lpstr>
      <vt:lpstr>Plano</vt:lpstr>
      <vt:lpstr>Aquisição_de_Bens_Permanentes</vt:lpstr>
      <vt:lpstr>'Analítico Cp.'!Area_de_impressao</vt:lpstr>
      <vt:lpstr>'Analítico Cx.'!Area_de_impressao</vt:lpstr>
      <vt:lpstr>Capa!Area_de_impressao</vt:lpstr>
      <vt:lpstr>Comp.!Area_de_impressao</vt:lpstr>
      <vt:lpstr>Comparativo!Area_de_impressao</vt:lpstr>
      <vt:lpstr>Diário!Area_de_impressao</vt:lpstr>
      <vt:lpstr>'Gasto das Atividades'!Area_de_impressao</vt:lpstr>
      <vt:lpstr>'Lista de Pessoal'!Area_de_impressao</vt:lpstr>
      <vt:lpstr>'Prov. Pessoal'!Area_de_impressao</vt:lpstr>
      <vt:lpstr>Reserva!Area_de_impressao</vt:lpstr>
      <vt:lpstr>Resumo!Area_de_impressao</vt:lpstr>
      <vt:lpstr>área_destinada</vt:lpstr>
      <vt:lpstr>Categorias</vt:lpstr>
      <vt:lpstr>Gastos_com_Pessoal</vt:lpstr>
      <vt:lpstr>Gastos_Gerais</vt:lpstr>
      <vt:lpstr>Ocorrência</vt:lpstr>
      <vt:lpstr>Receitas_Arrecadadas</vt:lpstr>
      <vt:lpstr>Rendimentos_Fin.</vt:lpstr>
      <vt:lpstr>Repasses</vt:lpstr>
      <vt:lpstr>Reserva</vt:lpstr>
      <vt:lpstr>'Analítico Cp.'!Titulos_de_impressao</vt:lpstr>
      <vt:lpstr>'Analítico Cx.'!Titulos_de_impressao</vt:lpstr>
      <vt:lpstr>Bens!Titulos_de_impressao</vt:lpstr>
      <vt:lpstr>Comp.!Titulos_de_impressao</vt:lpstr>
      <vt:lpstr>Diário!Titulos_de_impressao</vt:lpstr>
      <vt:lpstr>Reserva!Titulos_de_impressao</vt:lpstr>
      <vt:lpstr>Resumo!Titulos_de_impressao</vt:lpstr>
      <vt:lpstr>Transferência_para_Reserva_de_Recursos</vt:lpstr>
    </vt:vector>
  </TitlesOfParts>
  <Company>Particular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Ana Lucia Carvalho</cp:lastModifiedBy>
  <cp:lastPrinted>2026-04-09T20:06:31Z</cp:lastPrinted>
  <dcterms:created xsi:type="dcterms:W3CDTF">2007-03-19T18:09:20Z</dcterms:created>
  <dcterms:modified xsi:type="dcterms:W3CDTF">2026-07-08T14:38:35Z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0x010100B08D58FADB61F04EBBB4F355C06EFBED</vt:lpwstr>
  </property>
  <property fmtid="{D5CDD505-2E9C-101B-9397-08002B2CF9AE}" pid="3" name="MediaServiceImageTags">
    <vt:lpwstr/>
  </property>
</Properties>
</file>